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Teaching/CERBO/Excel Dateien/"/>
    </mc:Choice>
  </mc:AlternateContent>
  <xr:revisionPtr revIDLastSave="0" documentId="13_ncr:1_{F2633B37-DEF0-A84D-884F-A1AA253E00CF}" xr6:coauthVersionLast="47" xr6:coauthVersionMax="47" xr10:uidLastSave="{00000000-0000-0000-0000-000000000000}"/>
  <bookViews>
    <workbookView xWindow="0" yWindow="500" windowWidth="28800" windowHeight="16240" xr2:uid="{00000000-000D-0000-FFFF-FFFF00000000}"/>
  </bookViews>
  <sheets>
    <sheet name="Base Case" sheetId="2" r:id="rId1"/>
    <sheet name="Sheet1" sheetId="3" r:id="rId2"/>
  </sheets>
  <definedNames>
    <definedName name="_xlnm.Print_Area" localSheetId="0">'Base Case'!$B$2:$M$73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2" i="2" l="1"/>
  <c r="D41" i="2"/>
  <c r="E63" i="2" s="1"/>
  <c r="F63" i="2"/>
  <c r="H63" i="2"/>
  <c r="I63" i="2"/>
  <c r="J63" i="2"/>
  <c r="K63" i="2"/>
  <c r="L14" i="2"/>
  <c r="L8" i="2"/>
  <c r="K8" i="2" s="1"/>
  <c r="M13" i="2"/>
  <c r="H15" i="2"/>
  <c r="H58" i="2" s="1"/>
  <c r="F70" i="2"/>
  <c r="D35" i="2"/>
  <c r="E46" i="2"/>
  <c r="F46" i="2" s="1"/>
  <c r="H46" i="2" s="1"/>
  <c r="I46" i="2" s="1"/>
  <c r="J46" i="2" s="1"/>
  <c r="K46" i="2" s="1"/>
  <c r="L46" i="2" s="1"/>
  <c r="H13" i="2"/>
  <c r="I13" i="2" s="1"/>
  <c r="J13" i="2" s="1"/>
  <c r="I56" i="2"/>
  <c r="I68" i="2" s="1"/>
  <c r="J56" i="2"/>
  <c r="K56" i="2"/>
  <c r="H56" i="2"/>
  <c r="F64" i="2"/>
  <c r="F62" i="2"/>
  <c r="F61" i="2"/>
  <c r="F60" i="2"/>
  <c r="F10" i="2"/>
  <c r="F16" i="2" s="1"/>
  <c r="F56" i="2"/>
  <c r="F68" i="2" s="1"/>
  <c r="E56" i="2"/>
  <c r="E68" i="2" s="1"/>
  <c r="H69" i="2"/>
  <c r="F69" i="2"/>
  <c r="H70" i="2"/>
  <c r="E58" i="2"/>
  <c r="E66" i="2" s="1"/>
  <c r="E60" i="2"/>
  <c r="E61" i="2"/>
  <c r="E62" i="2"/>
  <c r="E64" i="2"/>
  <c r="D45" i="2"/>
  <c r="D38" i="2"/>
  <c r="D10" i="2"/>
  <c r="L21" i="2"/>
  <c r="L19" i="2"/>
  <c r="L63" i="2" l="1"/>
  <c r="H36" i="2"/>
  <c r="D16" i="2"/>
  <c r="D22" i="2" s="1"/>
  <c r="D23" i="2" s="1"/>
  <c r="F22" i="2"/>
  <c r="F23" i="2" s="1"/>
  <c r="H8" i="2"/>
  <c r="I8" i="2"/>
  <c r="J8" i="2"/>
  <c r="F17" i="2"/>
  <c r="K61" i="2"/>
  <c r="I70" i="2"/>
  <c r="J61" i="2"/>
  <c r="H61" i="2"/>
  <c r="I61" i="2"/>
  <c r="K13" i="2"/>
  <c r="F58" i="2"/>
  <c r="F38" i="2"/>
  <c r="D11" i="2"/>
  <c r="E70" i="2"/>
  <c r="K68" i="2"/>
  <c r="J68" i="2"/>
  <c r="D17" i="2" l="1"/>
  <c r="I69" i="2"/>
  <c r="J69" i="2"/>
  <c r="D39" i="2"/>
  <c r="D47" i="2" s="1"/>
  <c r="D48" i="2" s="1"/>
  <c r="D49" i="2" s="1"/>
  <c r="L61" i="2"/>
  <c r="K69" i="2"/>
  <c r="L43" i="2"/>
  <c r="I15" i="2"/>
  <c r="I36" i="2" s="1"/>
  <c r="F45" i="2"/>
  <c r="L56" i="2"/>
  <c r="L69" i="2" l="1"/>
  <c r="J70" i="2"/>
  <c r="F11" i="2"/>
  <c r="I9" i="2"/>
  <c r="H9" i="2"/>
  <c r="K9" i="2"/>
  <c r="J9" i="2"/>
  <c r="K70" i="2"/>
  <c r="L42" i="2"/>
  <c r="L70" i="2" l="1"/>
  <c r="K64" i="2"/>
  <c r="F55" i="2"/>
  <c r="J10" i="2"/>
  <c r="J11" i="2" s="1"/>
  <c r="L32" i="2"/>
  <c r="K10" i="2"/>
  <c r="K11" i="2" s="1"/>
  <c r="H62" i="2"/>
  <c r="H60" i="2"/>
  <c r="I10" i="2"/>
  <c r="I11" i="2" s="1"/>
  <c r="L33" i="2"/>
  <c r="I60" i="2" l="1"/>
  <c r="K62" i="2"/>
  <c r="L9" i="2"/>
  <c r="I62" i="2"/>
  <c r="L41" i="2"/>
  <c r="F57" i="2"/>
  <c r="H64" i="2"/>
  <c r="J62" i="2"/>
  <c r="J60" i="2"/>
  <c r="K60" i="2"/>
  <c r="J64" i="2"/>
  <c r="E38" i="2"/>
  <c r="F66" i="2" s="1"/>
  <c r="L60" i="2" l="1"/>
  <c r="I64" i="2"/>
  <c r="I45" i="2"/>
  <c r="L34" i="2"/>
  <c r="J45" i="2" l="1"/>
  <c r="L44" i="2"/>
  <c r="K45" i="2"/>
  <c r="L68" i="2" l="1"/>
  <c r="E45" i="2"/>
  <c r="H38" i="2" l="1"/>
  <c r="L37" i="2" l="1"/>
  <c r="H68" i="2"/>
  <c r="E10" i="2"/>
  <c r="E11" i="2" l="1"/>
  <c r="E16" i="2"/>
  <c r="E17" i="2" s="1"/>
  <c r="F59" i="2" l="1"/>
  <c r="F65" i="2" s="1"/>
  <c r="F67" i="2" s="1"/>
  <c r="F71" i="2" s="1"/>
  <c r="F73" i="2" s="1"/>
  <c r="E59" i="2"/>
  <c r="E22" i="2"/>
  <c r="E23" i="2" s="1"/>
  <c r="L62" i="2"/>
  <c r="L64" i="2"/>
  <c r="H10" i="2"/>
  <c r="L10" i="2" l="1"/>
  <c r="M10" i="2" s="1"/>
  <c r="H11" i="2"/>
  <c r="E55" i="2"/>
  <c r="E57" i="2" s="1"/>
  <c r="E65" i="2" s="1"/>
  <c r="H45" i="2"/>
  <c r="L11" i="2" l="1"/>
  <c r="E67" i="2"/>
  <c r="E71" i="2" s="1"/>
  <c r="E73" i="2" s="1"/>
  <c r="E30" i="2" s="1"/>
  <c r="L45" i="2"/>
  <c r="F30" i="2" l="1"/>
  <c r="F35" i="2" s="1"/>
  <c r="E35" i="2"/>
  <c r="E39" i="2" s="1"/>
  <c r="E47" i="2" s="1"/>
  <c r="L66" i="2"/>
  <c r="E48" i="2" l="1"/>
  <c r="E49" i="2" s="1"/>
  <c r="F47" i="2"/>
  <c r="F39" i="2"/>
  <c r="F48" i="2" l="1"/>
  <c r="J15" i="2"/>
  <c r="J36" i="2" s="1"/>
  <c r="F49" i="2" l="1"/>
  <c r="I38" i="2"/>
  <c r="I58" i="2"/>
  <c r="K15" i="2" l="1"/>
  <c r="K36" i="2" s="1"/>
  <c r="J58" i="2"/>
  <c r="J38" i="2" l="1"/>
  <c r="L15" i="2"/>
  <c r="K38" i="2" l="1"/>
  <c r="K58" i="2"/>
  <c r="L58" i="2" s="1"/>
  <c r="L36" i="2" l="1"/>
  <c r="L38" i="2" s="1"/>
  <c r="L16" i="2" l="1"/>
  <c r="M16" i="2" s="1"/>
  <c r="H16" i="2"/>
  <c r="H20" i="2" s="1"/>
  <c r="H59" i="2" l="1"/>
  <c r="H17" i="2"/>
  <c r="L17" i="2"/>
  <c r="I16" i="2"/>
  <c r="I17" i="2" l="1"/>
  <c r="I20" i="2"/>
  <c r="I22" i="2" s="1"/>
  <c r="I59" i="2"/>
  <c r="H22" i="2"/>
  <c r="J16" i="2"/>
  <c r="K16" i="2"/>
  <c r="K17" i="2" l="1"/>
  <c r="K20" i="2"/>
  <c r="K22" i="2" s="1"/>
  <c r="J17" i="2"/>
  <c r="J20" i="2"/>
  <c r="J22" i="2" s="1"/>
  <c r="H47" i="2"/>
  <c r="H48" i="2" s="1"/>
  <c r="H49" i="2" s="1"/>
  <c r="H23" i="2"/>
  <c r="I55" i="2"/>
  <c r="I23" i="2"/>
  <c r="J59" i="2"/>
  <c r="H55" i="2"/>
  <c r="H57" i="2" s="1"/>
  <c r="H65" i="2" s="1"/>
  <c r="I47" i="2" l="1"/>
  <c r="I48" i="2" s="1"/>
  <c r="I49" i="2" s="1"/>
  <c r="J55" i="2"/>
  <c r="J57" i="2" s="1"/>
  <c r="J23" i="2"/>
  <c r="K55" i="2"/>
  <c r="K57" i="2" s="1"/>
  <c r="K23" i="2"/>
  <c r="L20" i="2"/>
  <c r="J65" i="2"/>
  <c r="J67" i="2" s="1"/>
  <c r="J71" i="2" s="1"/>
  <c r="K59" i="2"/>
  <c r="L59" i="2" s="1"/>
  <c r="H67" i="2"/>
  <c r="H71" i="2" s="1"/>
  <c r="I57" i="2"/>
  <c r="I65" i="2" s="1"/>
  <c r="L55" i="2" l="1"/>
  <c r="L57" i="2" s="1"/>
  <c r="L65" i="2" s="1"/>
  <c r="L67" i="2" s="1"/>
  <c r="J47" i="2"/>
  <c r="K47" i="2" s="1"/>
  <c r="L22" i="2"/>
  <c r="M22" i="2" s="1"/>
  <c r="K65" i="2"/>
  <c r="K67" i="2" s="1"/>
  <c r="K71" i="2" s="1"/>
  <c r="K73" i="2" s="1"/>
  <c r="J73" i="2"/>
  <c r="H73" i="2"/>
  <c r="H30" i="2" s="1"/>
  <c r="I67" i="2"/>
  <c r="I71" i="2" s="1"/>
  <c r="J48" i="2" l="1"/>
  <c r="J49" i="2" s="1"/>
  <c r="L23" i="2"/>
  <c r="H35" i="2"/>
  <c r="H39" i="2" s="1"/>
  <c r="L71" i="2"/>
  <c r="L73" i="2" s="1"/>
  <c r="L47" i="2"/>
  <c r="K48" i="2"/>
  <c r="K49" i="2" s="1"/>
  <c r="I73" i="2" l="1"/>
  <c r="I30" i="2" s="1"/>
  <c r="J30" i="2" s="1"/>
  <c r="L48" i="2"/>
  <c r="K30" i="2" l="1"/>
  <c r="J35" i="2"/>
  <c r="I35" i="2"/>
  <c r="I39" i="2" s="1"/>
  <c r="L49" i="2"/>
  <c r="K35" i="2" l="1"/>
  <c r="L30" i="2"/>
  <c r="J39" i="2"/>
  <c r="K39" i="2" l="1"/>
  <c r="L31" i="2"/>
  <c r="L35" i="2" l="1"/>
  <c r="L39" i="2" s="1"/>
</calcChain>
</file>

<file path=xl/sharedStrings.xml><?xml version="1.0" encoding="utf-8"?>
<sst xmlns="http://schemas.openxmlformats.org/spreadsheetml/2006/main" count="73" uniqueCount="62">
  <si>
    <t>Debitoren</t>
  </si>
  <si>
    <t>Lager</t>
  </si>
  <si>
    <t>Abgrenzungen</t>
  </si>
  <si>
    <t>Mobiles Anlagevermögen</t>
  </si>
  <si>
    <t>Nicht einbezahltes EK</t>
  </si>
  <si>
    <t>Kreditoren</t>
  </si>
  <si>
    <t>Passive Abgrenzungen</t>
  </si>
  <si>
    <t>Total FK</t>
  </si>
  <si>
    <t>Aktienkapital</t>
  </si>
  <si>
    <t>Reserven und Gewinnvortrag</t>
  </si>
  <si>
    <t>Eigenkapital</t>
  </si>
  <si>
    <t>Total Passiven</t>
  </si>
  <si>
    <t>Bruttogewinn</t>
  </si>
  <si>
    <t>EBIT</t>
  </si>
  <si>
    <t>Umsatz</t>
  </si>
  <si>
    <t>NOPLAT</t>
  </si>
  <si>
    <t>- Materialaufwand</t>
  </si>
  <si>
    <t>- Personalaufwand</t>
  </si>
  <si>
    <t>- Abschreibungen</t>
  </si>
  <si>
    <t>- Steuern</t>
  </si>
  <si>
    <t>Total Aktiven</t>
  </si>
  <si>
    <t>Reingewinn</t>
  </si>
  <si>
    <t>+ Abschreibungen</t>
  </si>
  <si>
    <t>- Anstieg Debitoren</t>
  </si>
  <si>
    <t>- Anstieg Lager</t>
  </si>
  <si>
    <t>- Anstieg Abgrenzungen</t>
  </si>
  <si>
    <t>+ Anstieg Kreditoren</t>
  </si>
  <si>
    <t>+ Anstieg Passive Abgrenzungen</t>
  </si>
  <si>
    <t>Operativer Cashflow</t>
  </si>
  <si>
    <t>- Investitionen</t>
  </si>
  <si>
    <t>Free Cashflow</t>
  </si>
  <si>
    <t>Residual Cashflow</t>
  </si>
  <si>
    <t>- Dividende an Holding</t>
  </si>
  <si>
    <t>PLAN-ERFOLGSRECHNUNG</t>
  </si>
  <si>
    <t>PLAN-BILANZ</t>
  </si>
  <si>
    <t>PLAN-CASHFLOW-RECHNUNG</t>
  </si>
  <si>
    <t>- Sonstiger Betriebsaufwand</t>
  </si>
  <si>
    <t>Umlaufvermögen</t>
  </si>
  <si>
    <t>Anlagevermögen</t>
  </si>
  <si>
    <t>- Ausserordentliche Aufwände</t>
  </si>
  <si>
    <t>Darlehen Aktionäre und Holding</t>
  </si>
  <si>
    <t>- Zinsaufwand</t>
  </si>
  <si>
    <t>+ Darlehen Aktionäre und Holding</t>
  </si>
  <si>
    <t>E 2021</t>
  </si>
  <si>
    <t>Bankdarlehen</t>
  </si>
  <si>
    <t>Finanzaufwand</t>
  </si>
  <si>
    <t>+ Finanzaufwand (nach Steuern)</t>
  </si>
  <si>
    <t>Freie flüssige Mittel</t>
  </si>
  <si>
    <t>Betriebsnotwendige flüssige Mittel</t>
  </si>
  <si>
    <t>- Anstieg betriebsnotwendige flüMi</t>
  </si>
  <si>
    <t>Finanzplan Wassertechnik AG</t>
  </si>
  <si>
    <t>BG-Marge</t>
  </si>
  <si>
    <t>EBIT-Marge</t>
  </si>
  <si>
    <t>RG-Marge</t>
  </si>
  <si>
    <t>E 2022</t>
  </si>
  <si>
    <t>YOY%</t>
  </si>
  <si>
    <t>E Q1/22</t>
  </si>
  <si>
    <t>E Q2/22</t>
  </si>
  <si>
    <t>E Q3/22</t>
  </si>
  <si>
    <t>E Q4/22</t>
  </si>
  <si>
    <t>+ Bankdarlehen</t>
  </si>
  <si>
    <t>Veränderung freie flüssige 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</si>
</sst>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00"/>
    <numFmt numFmtId="165" formatCode="0.0%"/>
    <numFmt numFmtId="166" formatCode="#,##0.0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3" fontId="0" fillId="0" borderId="0" xfId="0" applyNumberFormat="1"/>
    <xf numFmtId="0" fontId="0" fillId="0" borderId="0" xfId="0" applyFill="1"/>
    <xf numFmtId="3" fontId="0" fillId="0" borderId="0" xfId="0" applyNumberFormat="1" applyFont="1" applyAlignment="1">
      <alignment horizontal="right"/>
    </xf>
    <xf numFmtId="0" fontId="0" fillId="0" borderId="0" xfId="0" applyFill="1" applyAlignment="1"/>
    <xf numFmtId="164" fontId="0" fillId="0" borderId="0" xfId="0" applyNumberFormat="1"/>
    <xf numFmtId="3" fontId="0" fillId="0" borderId="0" xfId="0" applyNumberFormat="1" applyFill="1" applyBorder="1"/>
    <xf numFmtId="0" fontId="0" fillId="0" borderId="0" xfId="0" applyFill="1" applyBorder="1"/>
    <xf numFmtId="3" fontId="0" fillId="0" borderId="0" xfId="0" applyNumberFormat="1" applyFill="1"/>
    <xf numFmtId="3" fontId="1" fillId="0" borderId="1" xfId="0" applyNumberFormat="1" applyFont="1" applyFill="1" applyBorder="1"/>
    <xf numFmtId="3" fontId="1" fillId="0" borderId="0" xfId="0" applyNumberFormat="1" applyFont="1" applyFill="1" applyBorder="1"/>
    <xf numFmtId="3" fontId="2" fillId="0" borderId="1" xfId="0" applyNumberFormat="1" applyFont="1" applyFill="1" applyBorder="1"/>
    <xf numFmtId="2" fontId="0" fillId="0" borderId="0" xfId="0" applyNumberFormat="1"/>
    <xf numFmtId="4" fontId="0" fillId="0" borderId="0" xfId="0" applyNumberFormat="1" applyFill="1" applyBorder="1"/>
    <xf numFmtId="0" fontId="1" fillId="0" borderId="0" xfId="0" applyFont="1" applyFill="1" applyAlignment="1">
      <alignment horizontal="center"/>
    </xf>
    <xf numFmtId="0" fontId="6" fillId="0" borderId="0" xfId="0" applyFont="1"/>
    <xf numFmtId="4" fontId="0" fillId="0" borderId="0" xfId="0" applyNumberFormat="1" applyFill="1"/>
    <xf numFmtId="4" fontId="0" fillId="0" borderId="0" xfId="0" applyNumberFormat="1"/>
    <xf numFmtId="4" fontId="0" fillId="0" borderId="0" xfId="0" applyNumberFormat="1" applyFont="1" applyAlignment="1">
      <alignment horizontal="right"/>
    </xf>
    <xf numFmtId="9" fontId="0" fillId="0" borderId="0" xfId="0" applyNumberFormat="1" applyFill="1" applyAlignment="1"/>
    <xf numFmtId="0" fontId="7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9" fontId="2" fillId="0" borderId="0" xfId="0" applyNumberFormat="1" applyFont="1" applyAlignment="1">
      <alignment horizontal="center"/>
    </xf>
    <xf numFmtId="9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3" fontId="2" fillId="0" borderId="0" xfId="0" applyNumberFormat="1" applyFont="1"/>
    <xf numFmtId="3" fontId="8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0" fillId="0" borderId="0" xfId="0" quotePrefix="1" applyFill="1" applyBorder="1"/>
    <xf numFmtId="165" fontId="2" fillId="0" borderId="0" xfId="0" applyNumberFormat="1" applyFont="1" applyFill="1" applyBorder="1"/>
    <xf numFmtId="4" fontId="1" fillId="0" borderId="0" xfId="0" applyNumberFormat="1" applyFont="1" applyFill="1" applyBorder="1"/>
    <xf numFmtId="9" fontId="7" fillId="0" borderId="0" xfId="0" applyNumberFormat="1" applyFont="1" applyAlignment="1">
      <alignment horizontal="center"/>
    </xf>
    <xf numFmtId="0" fontId="1" fillId="0" borderId="1" xfId="0" applyFont="1" applyFill="1" applyBorder="1"/>
    <xf numFmtId="17" fontId="1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4" xfId="0" applyFont="1" applyFill="1" applyBorder="1"/>
    <xf numFmtId="3" fontId="1" fillId="0" borderId="4" xfId="0" applyNumberFormat="1" applyFont="1" applyFill="1" applyBorder="1"/>
    <xf numFmtId="9" fontId="2" fillId="0" borderId="4" xfId="0" applyNumberFormat="1" applyFont="1" applyBorder="1" applyAlignment="1">
      <alignment horizontal="center"/>
    </xf>
    <xf numFmtId="0" fontId="2" fillId="0" borderId="5" xfId="0" applyFont="1" applyFill="1" applyBorder="1"/>
    <xf numFmtId="165" fontId="2" fillId="0" borderId="5" xfId="0" applyNumberFormat="1" applyFont="1" applyFill="1" applyBorder="1"/>
    <xf numFmtId="3" fontId="2" fillId="0" borderId="5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0" fillId="0" borderId="0" xfId="0" applyFont="1" applyFill="1" applyBorder="1"/>
    <xf numFmtId="3" fontId="7" fillId="0" borderId="5" xfId="0" applyNumberFormat="1" applyFont="1" applyFill="1" applyBorder="1"/>
    <xf numFmtId="0" fontId="0" fillId="0" borderId="5" xfId="0" applyFont="1" applyFill="1" applyBorder="1"/>
    <xf numFmtId="3" fontId="1" fillId="0" borderId="5" xfId="0" applyNumberFormat="1" applyFont="1" applyFill="1" applyBorder="1"/>
    <xf numFmtId="166" fontId="7" fillId="0" borderId="5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2" borderId="1" xfId="0" applyFont="1" applyFill="1" applyBorder="1" applyAlignment="1">
      <alignment horizontal="right"/>
    </xf>
    <xf numFmtId="3" fontId="1" fillId="2" borderId="0" xfId="0" applyNumberFormat="1" applyFont="1" applyFill="1" applyBorder="1"/>
    <xf numFmtId="3" fontId="0" fillId="2" borderId="0" xfId="0" applyNumberFormat="1" applyFill="1" applyBorder="1"/>
    <xf numFmtId="3" fontId="1" fillId="2" borderId="4" xfId="0" applyNumberFormat="1" applyFont="1" applyFill="1" applyBorder="1"/>
    <xf numFmtId="165" fontId="2" fillId="2" borderId="5" xfId="0" applyNumberFormat="1" applyFont="1" applyFill="1" applyBorder="1"/>
    <xf numFmtId="165" fontId="2" fillId="2" borderId="0" xfId="0" applyNumberFormat="1" applyFont="1" applyFill="1" applyBorder="1"/>
    <xf numFmtId="3" fontId="0" fillId="2" borderId="0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3" fontId="1" fillId="2" borderId="1" xfId="0" applyNumberFormat="1" applyFont="1" applyFill="1" applyBorder="1"/>
    <xf numFmtId="0" fontId="1" fillId="0" borderId="2" xfId="0" applyFont="1" applyFill="1" applyBorder="1" applyAlignment="1">
      <alignment horizontal="right"/>
    </xf>
    <xf numFmtId="3" fontId="0" fillId="0" borderId="3" xfId="0" applyNumberFormat="1" applyFont="1" applyFill="1" applyBorder="1" applyAlignment="1">
      <alignment horizontal="right"/>
    </xf>
    <xf numFmtId="3" fontId="0" fillId="0" borderId="3" xfId="0" applyNumberFormat="1" applyFill="1" applyBorder="1"/>
    <xf numFmtId="3" fontId="2" fillId="0" borderId="2" xfId="0" applyNumberFormat="1" applyFont="1" applyFill="1" applyBorder="1"/>
    <xf numFmtId="3" fontId="1" fillId="0" borderId="2" xfId="0" applyNumberFormat="1" applyFont="1" applyFill="1" applyBorder="1"/>
    <xf numFmtId="0" fontId="0" fillId="0" borderId="1" xfId="0" applyFill="1" applyBorder="1"/>
    <xf numFmtId="0" fontId="1" fillId="2" borderId="1" xfId="0" applyFont="1" applyFill="1" applyBorder="1"/>
    <xf numFmtId="3" fontId="0" fillId="2" borderId="0" xfId="0" quotePrefix="1" applyNumberFormat="1" applyFill="1" applyBorder="1"/>
    <xf numFmtId="3" fontId="5" fillId="2" borderId="0" xfId="1" quotePrefix="1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3" fontId="2" fillId="0" borderId="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75"/>
  <sheetViews>
    <sheetView tabSelected="1" topLeftCell="A50" zoomScale="140" zoomScaleNormal="140" zoomScaleSheetLayoutView="319" workbookViewId="0">
      <selection activeCell="C54" sqref="C54:L73"/>
    </sheetView>
  </sheetViews>
  <sheetFormatPr baseColWidth="10" defaultColWidth="10.6640625" defaultRowHeight="16" x14ac:dyDescent="0.2"/>
  <cols>
    <col min="2" max="2" width="3.83203125" customWidth="1"/>
    <col min="3" max="3" width="33.33203125" customWidth="1"/>
    <col min="4" max="4" width="11.83203125" customWidth="1"/>
    <col min="5" max="5" width="11.6640625" customWidth="1"/>
    <col min="6" max="12" width="10.83203125" customWidth="1"/>
    <col min="13" max="13" width="10.83203125" style="21" customWidth="1"/>
    <col min="15" max="15" width="12.6640625" bestFit="1" customWidth="1"/>
  </cols>
  <sheetData>
    <row r="2" spans="2:13" ht="24" x14ac:dyDescent="0.3">
      <c r="B2" s="15" t="s">
        <v>50</v>
      </c>
    </row>
    <row r="3" spans="2:13" x14ac:dyDescent="0.2">
      <c r="E3" s="3"/>
      <c r="F3" s="3"/>
      <c r="G3" s="3"/>
      <c r="H3" s="3"/>
      <c r="I3" s="18"/>
      <c r="J3" s="3"/>
      <c r="K3" s="3"/>
      <c r="L3" s="3"/>
    </row>
    <row r="4" spans="2:13" x14ac:dyDescent="0.2">
      <c r="B4" s="71" t="s">
        <v>33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2:13" s="2" customForma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20"/>
    </row>
    <row r="6" spans="2:13" s="4" customFormat="1" x14ac:dyDescent="0.2">
      <c r="H6" s="19"/>
      <c r="I6" s="19"/>
      <c r="J6" s="19"/>
      <c r="K6" s="19"/>
      <c r="M6" s="22"/>
    </row>
    <row r="7" spans="2:13" x14ac:dyDescent="0.2">
      <c r="C7" s="37"/>
      <c r="D7" s="68">
        <v>2019</v>
      </c>
      <c r="E7" s="53">
        <v>2020</v>
      </c>
      <c r="F7" s="27" t="s">
        <v>43</v>
      </c>
      <c r="G7" s="27"/>
      <c r="H7" s="38" t="s">
        <v>56</v>
      </c>
      <c r="I7" s="38" t="s">
        <v>57</v>
      </c>
      <c r="J7" s="38" t="s">
        <v>58</v>
      </c>
      <c r="K7" s="38" t="s">
        <v>59</v>
      </c>
      <c r="L7" s="27" t="s">
        <v>54</v>
      </c>
      <c r="M7" s="39" t="s">
        <v>55</v>
      </c>
    </row>
    <row r="8" spans="2:13" x14ac:dyDescent="0.2">
      <c r="C8" s="32" t="s">
        <v>14</v>
      </c>
      <c r="D8" s="54">
        <v>3394</v>
      </c>
      <c r="E8" s="54">
        <v>3386</v>
      </c>
      <c r="F8" s="10">
        <v>5613</v>
      </c>
      <c r="G8" s="35"/>
      <c r="H8" s="10">
        <f>$L$8*0.18</f>
        <v>1616.5440000000001</v>
      </c>
      <c r="I8" s="10">
        <f>$L$8*0.27</f>
        <v>2424.8160000000003</v>
      </c>
      <c r="J8" s="10">
        <f>$L$8*0.23</f>
        <v>2065.5840000000003</v>
      </c>
      <c r="K8" s="10">
        <f>$L$8*0.32</f>
        <v>2873.8560000000002</v>
      </c>
      <c r="L8" s="10">
        <f>F8*(1+M8)</f>
        <v>8980.8000000000011</v>
      </c>
      <c r="M8" s="36">
        <v>0.6</v>
      </c>
    </row>
    <row r="9" spans="2:13" x14ac:dyDescent="0.2">
      <c r="C9" s="33" t="s">
        <v>16</v>
      </c>
      <c r="D9" s="69">
        <v>1309</v>
      </c>
      <c r="E9" s="55">
        <v>1354</v>
      </c>
      <c r="F9" s="6">
        <v>2234</v>
      </c>
      <c r="G9" s="6"/>
      <c r="H9" s="6">
        <f>H8*0.41</f>
        <v>662.78304000000003</v>
      </c>
      <c r="I9" s="6">
        <f t="shared" ref="I9:K9" si="0">I8*0.41</f>
        <v>994.17456000000004</v>
      </c>
      <c r="J9" s="6">
        <f t="shared" si="0"/>
        <v>846.88944000000004</v>
      </c>
      <c r="K9" s="6">
        <f t="shared" si="0"/>
        <v>1178.2809600000001</v>
      </c>
      <c r="L9" s="6">
        <f t="shared" ref="L9:L10" si="1">SUM(H9:K9)</f>
        <v>3682.1280000000002</v>
      </c>
      <c r="M9" s="23"/>
    </row>
    <row r="10" spans="2:13" x14ac:dyDescent="0.2">
      <c r="C10" s="40" t="s">
        <v>12</v>
      </c>
      <c r="D10" s="56">
        <f>D8-D9</f>
        <v>2085</v>
      </c>
      <c r="E10" s="56">
        <f>E8-E9</f>
        <v>2032</v>
      </c>
      <c r="F10" s="41">
        <f>F8-F9</f>
        <v>3379</v>
      </c>
      <c r="G10" s="41"/>
      <c r="H10" s="41">
        <f t="shared" ref="H10:K10" si="2">H8-H9</f>
        <v>953.76096000000007</v>
      </c>
      <c r="I10" s="41">
        <f t="shared" si="2"/>
        <v>1430.6414400000003</v>
      </c>
      <c r="J10" s="41">
        <f t="shared" si="2"/>
        <v>1218.6945600000004</v>
      </c>
      <c r="K10" s="41">
        <f t="shared" si="2"/>
        <v>1695.5750400000002</v>
      </c>
      <c r="L10" s="41">
        <f t="shared" si="1"/>
        <v>5298.6720000000005</v>
      </c>
      <c r="M10" s="42">
        <f>L10/F10-1</f>
        <v>0.56811837821840805</v>
      </c>
    </row>
    <row r="11" spans="2:13" s="2" customFormat="1" x14ac:dyDescent="0.2">
      <c r="C11" s="43" t="s">
        <v>51</v>
      </c>
      <c r="D11" s="57">
        <f>D10/D8</f>
        <v>0.61431938715380086</v>
      </c>
      <c r="E11" s="57">
        <f>E10/E8</f>
        <v>0.60011813349084464</v>
      </c>
      <c r="F11" s="44">
        <f>F10/F8</f>
        <v>0.60199536789595587</v>
      </c>
      <c r="G11" s="45"/>
      <c r="H11" s="44">
        <f>H10/H8</f>
        <v>0.59</v>
      </c>
      <c r="I11" s="44">
        <f>I10/I8</f>
        <v>0.59000000000000008</v>
      </c>
      <c r="J11" s="44">
        <f>J10/J8</f>
        <v>0.59000000000000008</v>
      </c>
      <c r="K11" s="44">
        <f>K10/K8</f>
        <v>0.59</v>
      </c>
      <c r="L11" s="44">
        <f>L10/L8</f>
        <v>0.59</v>
      </c>
      <c r="M11" s="46"/>
    </row>
    <row r="12" spans="2:13" s="2" customFormat="1" x14ac:dyDescent="0.2">
      <c r="C12" s="7"/>
      <c r="D12" s="58"/>
      <c r="E12" s="58"/>
      <c r="F12" s="34"/>
      <c r="G12" s="6"/>
      <c r="H12" s="6"/>
      <c r="I12" s="6"/>
      <c r="J12" s="6"/>
      <c r="K12" s="6"/>
      <c r="L12" s="6"/>
      <c r="M12" s="22"/>
    </row>
    <row r="13" spans="2:13" s="2" customFormat="1" x14ac:dyDescent="0.2">
      <c r="C13" s="33" t="s">
        <v>17</v>
      </c>
      <c r="D13" s="69">
        <v>921</v>
      </c>
      <c r="E13" s="55">
        <v>899</v>
      </c>
      <c r="F13" s="6">
        <v>2124</v>
      </c>
      <c r="G13" s="6"/>
      <c r="H13" s="6">
        <f>L13*3/13</f>
        <v>612.69230769230774</v>
      </c>
      <c r="I13" s="6">
        <f>H13</f>
        <v>612.69230769230774</v>
      </c>
      <c r="J13" s="6">
        <f>I13</f>
        <v>612.69230769230774</v>
      </c>
      <c r="K13" s="6">
        <f>L13*4/13</f>
        <v>816.92307692307691</v>
      </c>
      <c r="L13" s="6">
        <v>2655</v>
      </c>
      <c r="M13" s="23">
        <f>L13/F13-1</f>
        <v>0.25</v>
      </c>
    </row>
    <row r="14" spans="2:13" s="2" customFormat="1" x14ac:dyDescent="0.2">
      <c r="C14" s="33" t="s">
        <v>36</v>
      </c>
      <c r="D14" s="69">
        <v>488</v>
      </c>
      <c r="E14" s="55">
        <v>487</v>
      </c>
      <c r="F14" s="6">
        <v>743</v>
      </c>
      <c r="G14" s="6"/>
      <c r="H14" s="6">
        <v>238.19280000000003</v>
      </c>
      <c r="I14" s="6">
        <v>288.48527999999999</v>
      </c>
      <c r="J14" s="6">
        <v>259.74672000000004</v>
      </c>
      <c r="K14" s="6">
        <v>310.03919999999999</v>
      </c>
      <c r="L14" s="6">
        <f>SUM(H14:K14)</f>
        <v>1096.4639999999999</v>
      </c>
      <c r="M14" s="24"/>
    </row>
    <row r="15" spans="2:13" s="2" customFormat="1" x14ac:dyDescent="0.2">
      <c r="C15" s="33" t="s">
        <v>18</v>
      </c>
      <c r="D15" s="69">
        <v>6</v>
      </c>
      <c r="E15" s="55">
        <v>101</v>
      </c>
      <c r="F15" s="6">
        <v>172</v>
      </c>
      <c r="G15" s="6"/>
      <c r="H15" s="6">
        <f>(F36+H66)*0.25/4</f>
        <v>26.4375</v>
      </c>
      <c r="I15" s="6">
        <f>(H36+I66)*0.25/4</f>
        <v>27.91015625</v>
      </c>
      <c r="J15" s="6">
        <f>(I36+J66)*0.25/4</f>
        <v>28.040771484375</v>
      </c>
      <c r="K15" s="6">
        <f>(J36+K66)*0.25/4</f>
        <v>28.788223266601562</v>
      </c>
      <c r="L15" s="6">
        <f t="shared" ref="L15" si="3">SUM(H15:K15)</f>
        <v>111.17665100097656</v>
      </c>
      <c r="M15" s="24"/>
    </row>
    <row r="16" spans="2:13" s="2" customFormat="1" x14ac:dyDescent="0.2">
      <c r="C16" s="40" t="s">
        <v>13</v>
      </c>
      <c r="D16" s="56">
        <f>D10-SUM(D13:D15)</f>
        <v>670</v>
      </c>
      <c r="E16" s="56">
        <f>E10-SUM(E13:E15)</f>
        <v>545</v>
      </c>
      <c r="F16" s="41">
        <f>F10-SUM(F13:F15)</f>
        <v>340</v>
      </c>
      <c r="G16" s="41"/>
      <c r="H16" s="41">
        <f>H10-SUM(H13:H15)</f>
        <v>76.438352307692298</v>
      </c>
      <c r="I16" s="41">
        <f>I10-SUM(I13:I15)</f>
        <v>501.5536960576926</v>
      </c>
      <c r="J16" s="41">
        <f>J10-SUM(J13:J15)</f>
        <v>318.21476082331765</v>
      </c>
      <c r="K16" s="41">
        <f>K10-SUM(K13:K15)</f>
        <v>539.82453981032177</v>
      </c>
      <c r="L16" s="41">
        <f>L10-SUM(L13:L15)</f>
        <v>1436.031348999024</v>
      </c>
      <c r="M16" s="42">
        <f>L16/F16-1</f>
        <v>3.2236216147030117</v>
      </c>
    </row>
    <row r="17" spans="2:20" s="2" customFormat="1" x14ac:dyDescent="0.2">
      <c r="C17" s="43" t="s">
        <v>52</v>
      </c>
      <c r="D17" s="57">
        <f>D16/D8</f>
        <v>0.19740718915733649</v>
      </c>
      <c r="E17" s="57">
        <f>E16/E8</f>
        <v>0.16095688127584171</v>
      </c>
      <c r="F17" s="44">
        <f>F16/F8</f>
        <v>6.0573668270087297E-2</v>
      </c>
      <c r="G17" s="48"/>
      <c r="H17" s="44">
        <f>H16/H8</f>
        <v>4.7285042849246478E-2</v>
      </c>
      <c r="I17" s="44">
        <f>I16/I8</f>
        <v>0.20684196081586914</v>
      </c>
      <c r="J17" s="44">
        <f>J16/J8</f>
        <v>0.15405558952011519</v>
      </c>
      <c r="K17" s="44">
        <f>K16/K8</f>
        <v>0.18783980123232399</v>
      </c>
      <c r="L17" s="44">
        <f>L16/L8</f>
        <v>0.15990015911711916</v>
      </c>
      <c r="M17" s="46"/>
      <c r="P17" s="8"/>
      <c r="Q17" s="8"/>
      <c r="R17" s="8"/>
      <c r="S17" s="8"/>
      <c r="T17" s="8"/>
    </row>
    <row r="18" spans="2:20" s="2" customFormat="1" x14ac:dyDescent="0.2">
      <c r="C18" s="47"/>
      <c r="D18" s="58"/>
      <c r="E18" s="58"/>
      <c r="F18" s="34"/>
      <c r="G18" s="10"/>
      <c r="H18" s="34"/>
      <c r="I18" s="34"/>
      <c r="J18" s="34"/>
      <c r="K18" s="34"/>
      <c r="L18" s="34"/>
      <c r="M18" s="22"/>
      <c r="P18" s="8"/>
      <c r="Q18" s="8"/>
      <c r="R18" s="8"/>
      <c r="S18" s="8"/>
      <c r="T18" s="8"/>
    </row>
    <row r="19" spans="2:20" s="2" customFormat="1" x14ac:dyDescent="0.2">
      <c r="C19" s="7" t="s">
        <v>45</v>
      </c>
      <c r="D19" s="55">
        <v>1</v>
      </c>
      <c r="E19" s="55">
        <v>18</v>
      </c>
      <c r="F19" s="6">
        <v>15</v>
      </c>
      <c r="G19" s="6"/>
      <c r="H19" s="6">
        <v>4</v>
      </c>
      <c r="I19" s="6">
        <v>4</v>
      </c>
      <c r="J19" s="6">
        <v>3</v>
      </c>
      <c r="K19" s="6">
        <v>3</v>
      </c>
      <c r="L19" s="6">
        <f>SUM(H19:K19)</f>
        <v>14</v>
      </c>
      <c r="M19" s="22"/>
    </row>
    <row r="20" spans="2:20" s="2" customFormat="1" x14ac:dyDescent="0.2">
      <c r="C20" s="33" t="s">
        <v>19</v>
      </c>
      <c r="D20" s="69">
        <v>139</v>
      </c>
      <c r="E20" s="55">
        <v>102</v>
      </c>
      <c r="F20" s="6">
        <v>45</v>
      </c>
      <c r="G20" s="6"/>
      <c r="H20" s="6">
        <f>ROUND((H16-H19)*0.21,0)</f>
        <v>15</v>
      </c>
      <c r="I20" s="6">
        <f t="shared" ref="I20:K20" si="4">ROUND((I16-I19)*0.21,0)</f>
        <v>104</v>
      </c>
      <c r="J20" s="6">
        <f t="shared" si="4"/>
        <v>66</v>
      </c>
      <c r="K20" s="6">
        <f t="shared" si="4"/>
        <v>113</v>
      </c>
      <c r="L20" s="6">
        <f>SUM(H20:K20)</f>
        <v>298</v>
      </c>
      <c r="M20" s="24"/>
      <c r="O20" s="16"/>
    </row>
    <row r="21" spans="2:20" s="2" customFormat="1" x14ac:dyDescent="0.2">
      <c r="C21" s="33" t="s">
        <v>39</v>
      </c>
      <c r="D21" s="70">
        <v>3</v>
      </c>
      <c r="E21" s="55">
        <v>11</v>
      </c>
      <c r="F21" s="6">
        <v>20</v>
      </c>
      <c r="G21" s="6"/>
      <c r="H21" s="6">
        <v>0</v>
      </c>
      <c r="I21" s="6">
        <v>0</v>
      </c>
      <c r="J21" s="6">
        <v>0</v>
      </c>
      <c r="K21" s="6">
        <v>0</v>
      </c>
      <c r="L21" s="6">
        <f>SUM(H21:K21)</f>
        <v>0</v>
      </c>
      <c r="M21" s="22"/>
    </row>
    <row r="22" spans="2:20" s="2" customFormat="1" x14ac:dyDescent="0.2">
      <c r="C22" s="40" t="s">
        <v>21</v>
      </c>
      <c r="D22" s="56">
        <f>D16-D19-D20-D21</f>
        <v>527</v>
      </c>
      <c r="E22" s="56">
        <f>E16-E19-E20-E21</f>
        <v>414</v>
      </c>
      <c r="F22" s="41">
        <f>F16-F19-F20-F21</f>
        <v>260</v>
      </c>
      <c r="G22" s="41"/>
      <c r="H22" s="41">
        <f>H16-H19-H20</f>
        <v>57.438352307692298</v>
      </c>
      <c r="I22" s="41">
        <f>I16-I19-I20</f>
        <v>393.5536960576926</v>
      </c>
      <c r="J22" s="41">
        <f>J16-J19-J20</f>
        <v>249.21476082331765</v>
      </c>
      <c r="K22" s="41">
        <f>K16-K19-K20</f>
        <v>423.82453981032177</v>
      </c>
      <c r="L22" s="41">
        <f>L16-L19-L20</f>
        <v>1124.031348999024</v>
      </c>
      <c r="M22" s="42">
        <f>L22/F22-1</f>
        <v>3.3231974961500921</v>
      </c>
    </row>
    <row r="23" spans="2:20" s="2" customFormat="1" x14ac:dyDescent="0.2">
      <c r="C23" s="49" t="s">
        <v>53</v>
      </c>
      <c r="D23" s="57">
        <f>D22/D8</f>
        <v>0.15527401296405421</v>
      </c>
      <c r="E23" s="57">
        <f>E22/E8</f>
        <v>0.12226816302421736</v>
      </c>
      <c r="F23" s="44">
        <f>F22/F8</f>
        <v>4.6321040441831461E-2</v>
      </c>
      <c r="G23" s="50"/>
      <c r="H23" s="44">
        <f>H22/H8</f>
        <v>3.5531573720042446E-2</v>
      </c>
      <c r="I23" s="44">
        <f>I22/I8</f>
        <v>0.16230249885256967</v>
      </c>
      <c r="J23" s="44">
        <f>J22/J8</f>
        <v>0.12065099304764057</v>
      </c>
      <c r="K23" s="44">
        <f>K22/K8</f>
        <v>0.14747591382808384</v>
      </c>
      <c r="L23" s="44">
        <f>L22/L8</f>
        <v>0.12515937878574557</v>
      </c>
      <c r="M23" s="51"/>
    </row>
    <row r="24" spans="2:20" s="2" customFormat="1" x14ac:dyDescent="0.2">
      <c r="M24" s="22"/>
      <c r="O24" s="16"/>
    </row>
    <row r="25" spans="2:20" x14ac:dyDescent="0.2">
      <c r="E25" s="5"/>
      <c r="F25" s="5"/>
      <c r="G25" s="5"/>
      <c r="H25" s="5"/>
      <c r="I25" s="5"/>
      <c r="J25" s="5"/>
      <c r="K25" s="5"/>
      <c r="L25" s="5"/>
    </row>
    <row r="26" spans="2:20" x14ac:dyDescent="0.2">
      <c r="B26" s="71" t="s">
        <v>34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2:20" s="2" customFormat="1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22"/>
    </row>
    <row r="28" spans="2:20" x14ac:dyDescent="0.2">
      <c r="F28" s="1"/>
      <c r="H28" s="12"/>
    </row>
    <row r="29" spans="2:20" s="7" customFormat="1" x14ac:dyDescent="0.2">
      <c r="C29" s="37"/>
      <c r="D29" s="53">
        <v>2019</v>
      </c>
      <c r="E29" s="53">
        <v>2020</v>
      </c>
      <c r="F29" s="27">
        <v>2021</v>
      </c>
      <c r="G29" s="27"/>
      <c r="H29" s="38" t="s">
        <v>56</v>
      </c>
      <c r="I29" s="38" t="s">
        <v>57</v>
      </c>
      <c r="J29" s="38" t="s">
        <v>58</v>
      </c>
      <c r="K29" s="38" t="s">
        <v>59</v>
      </c>
      <c r="L29" s="62" t="s">
        <v>54</v>
      </c>
      <c r="M29" s="25"/>
    </row>
    <row r="30" spans="2:20" s="7" customFormat="1" x14ac:dyDescent="0.2">
      <c r="C30" s="47" t="s">
        <v>47</v>
      </c>
      <c r="D30" s="59">
        <v>336</v>
      </c>
      <c r="E30" s="59">
        <f>D30+E73</f>
        <v>212.00000000000003</v>
      </c>
      <c r="F30" s="28">
        <f>E30+F73</f>
        <v>114.00000000000003</v>
      </c>
      <c r="G30" s="31"/>
      <c r="H30" s="28">
        <f>F30+H73</f>
        <v>48.380461346153908</v>
      </c>
      <c r="I30" s="28">
        <f>H30+I73</f>
        <v>158.20720318509652</v>
      </c>
      <c r="J30" s="28">
        <f>I30+J73</f>
        <v>109.02147401166934</v>
      </c>
      <c r="K30" s="28">
        <f>J30+K73</f>
        <v>309.7821182961967</v>
      </c>
      <c r="L30" s="63">
        <f>K30</f>
        <v>309.7821182961967</v>
      </c>
      <c r="M30" s="25"/>
    </row>
    <row r="31" spans="2:20" s="7" customFormat="1" x14ac:dyDescent="0.2">
      <c r="C31" s="7" t="s">
        <v>48</v>
      </c>
      <c r="D31" s="59">
        <v>131</v>
      </c>
      <c r="E31" s="59">
        <v>139</v>
      </c>
      <c r="F31" s="28">
        <v>184</v>
      </c>
      <c r="G31" s="28"/>
      <c r="H31" s="28">
        <v>192.27883096153846</v>
      </c>
      <c r="I31" s="28">
        <v>240.18806143028846</v>
      </c>
      <c r="J31" s="28">
        <v>218.44953624474158</v>
      </c>
      <c r="K31" s="28">
        <v>291.70241503713754</v>
      </c>
      <c r="L31" s="64">
        <f>K31</f>
        <v>291.70241503713754</v>
      </c>
      <c r="M31" s="25"/>
    </row>
    <row r="32" spans="2:20" s="7" customFormat="1" x14ac:dyDescent="0.2">
      <c r="C32" s="7" t="s">
        <v>0</v>
      </c>
      <c r="D32" s="59">
        <v>376</v>
      </c>
      <c r="E32" s="59">
        <v>365</v>
      </c>
      <c r="F32" s="28">
        <v>940</v>
      </c>
      <c r="G32" s="28"/>
      <c r="H32" s="6">
        <v>785</v>
      </c>
      <c r="I32" s="6">
        <v>861</v>
      </c>
      <c r="J32" s="6">
        <v>803.28266666666673</v>
      </c>
      <c r="K32" s="6">
        <v>1117.6106666666667</v>
      </c>
      <c r="L32" s="64">
        <f t="shared" ref="L32:L34" si="5">K32</f>
        <v>1117.6106666666667</v>
      </c>
      <c r="M32" s="25"/>
    </row>
    <row r="33" spans="3:18" s="7" customFormat="1" x14ac:dyDescent="0.2">
      <c r="C33" s="7" t="s">
        <v>1</v>
      </c>
      <c r="D33" s="59">
        <v>237</v>
      </c>
      <c r="E33" s="59">
        <v>233</v>
      </c>
      <c r="F33" s="28">
        <v>767</v>
      </c>
      <c r="G33" s="28"/>
      <c r="H33" s="6">
        <v>790</v>
      </c>
      <c r="I33" s="6">
        <v>814</v>
      </c>
      <c r="J33" s="6">
        <v>838</v>
      </c>
      <c r="K33" s="6">
        <v>863</v>
      </c>
      <c r="L33" s="64">
        <f t="shared" si="5"/>
        <v>863</v>
      </c>
      <c r="M33" s="25"/>
    </row>
    <row r="34" spans="3:18" s="7" customFormat="1" x14ac:dyDescent="0.2">
      <c r="C34" s="7" t="s">
        <v>2</v>
      </c>
      <c r="D34" s="59">
        <v>82</v>
      </c>
      <c r="E34" s="59">
        <v>140</v>
      </c>
      <c r="F34" s="28">
        <v>277</v>
      </c>
      <c r="G34" s="28"/>
      <c r="H34" s="6">
        <v>235.45</v>
      </c>
      <c r="I34" s="6">
        <v>243</v>
      </c>
      <c r="J34" s="6">
        <v>250</v>
      </c>
      <c r="K34" s="6">
        <v>258</v>
      </c>
      <c r="L34" s="64">
        <f t="shared" si="5"/>
        <v>258</v>
      </c>
      <c r="M34" s="26"/>
    </row>
    <row r="35" spans="3:18" s="7" customFormat="1" x14ac:dyDescent="0.2">
      <c r="C35" s="52" t="s">
        <v>37</v>
      </c>
      <c r="D35" s="60">
        <f>SUM(D30:D34)</f>
        <v>1162</v>
      </c>
      <c r="E35" s="60">
        <f>SUM(E30:E34)</f>
        <v>1089</v>
      </c>
      <c r="F35" s="11">
        <f>SUM(F30:F34)</f>
        <v>2282</v>
      </c>
      <c r="G35" s="11"/>
      <c r="H35" s="11">
        <f>SUM(H30:H34)</f>
        <v>2051.1092923076922</v>
      </c>
      <c r="I35" s="11">
        <f t="shared" ref="I35:K35" si="6">SUM(I30:I34)</f>
        <v>2316.3952646153848</v>
      </c>
      <c r="J35" s="11">
        <f t="shared" si="6"/>
        <v>2218.7536769230774</v>
      </c>
      <c r="K35" s="11">
        <f t="shared" si="6"/>
        <v>2840.0952000000007</v>
      </c>
      <c r="L35" s="65">
        <f>SUM(L30:L34)</f>
        <v>2840.0952000000007</v>
      </c>
      <c r="M35" s="25"/>
      <c r="P35" s="6"/>
    </row>
    <row r="36" spans="3:18" s="7" customFormat="1" x14ac:dyDescent="0.2">
      <c r="C36" s="7" t="s">
        <v>3</v>
      </c>
      <c r="D36" s="55">
        <v>6</v>
      </c>
      <c r="E36" s="55">
        <v>183</v>
      </c>
      <c r="F36" s="6">
        <v>378</v>
      </c>
      <c r="G36" s="6"/>
      <c r="H36" s="30">
        <f>F36+H66-H15</f>
        <v>396.5625</v>
      </c>
      <c r="I36" s="30">
        <f>H36+I66-I15</f>
        <v>418.65234375</v>
      </c>
      <c r="J36" s="30">
        <f>I36+J66-J15</f>
        <v>420.611572265625</v>
      </c>
      <c r="K36" s="30">
        <f>J36+K66-K15</f>
        <v>431.82334899902344</v>
      </c>
      <c r="L36" s="64">
        <f>K36</f>
        <v>431.82334899902344</v>
      </c>
      <c r="M36" s="25"/>
    </row>
    <row r="37" spans="3:18" s="7" customFormat="1" x14ac:dyDescent="0.2">
      <c r="C37" s="7" t="s">
        <v>4</v>
      </c>
      <c r="D37" s="55">
        <v>50</v>
      </c>
      <c r="E37" s="55">
        <v>50</v>
      </c>
      <c r="F37" s="6">
        <v>50</v>
      </c>
      <c r="G37" s="6"/>
      <c r="H37" s="6">
        <v>50</v>
      </c>
      <c r="I37" s="6">
        <v>50</v>
      </c>
      <c r="J37" s="6">
        <v>50</v>
      </c>
      <c r="K37" s="6">
        <v>50</v>
      </c>
      <c r="L37" s="64">
        <f>K37</f>
        <v>50</v>
      </c>
      <c r="M37" s="25"/>
    </row>
    <row r="38" spans="3:18" s="7" customFormat="1" x14ac:dyDescent="0.2">
      <c r="C38" s="52" t="s">
        <v>38</v>
      </c>
      <c r="D38" s="60">
        <f>D36+D37</f>
        <v>56</v>
      </c>
      <c r="E38" s="60">
        <f>E36+E37</f>
        <v>233</v>
      </c>
      <c r="F38" s="11">
        <f>SUM(F36:F37)</f>
        <v>428</v>
      </c>
      <c r="G38" s="11"/>
      <c r="H38" s="11">
        <f>SUM(H36:H37)</f>
        <v>446.5625</v>
      </c>
      <c r="I38" s="11">
        <f t="shared" ref="I38:K38" si="7">SUM(I36:I37)</f>
        <v>468.65234375</v>
      </c>
      <c r="J38" s="11">
        <f t="shared" si="7"/>
        <v>470.611572265625</v>
      </c>
      <c r="K38" s="11">
        <f t="shared" si="7"/>
        <v>481.82334899902344</v>
      </c>
      <c r="L38" s="65">
        <f>SUM(L36:L37)</f>
        <v>481.82334899902344</v>
      </c>
      <c r="M38" s="25"/>
    </row>
    <row r="39" spans="3:18" s="7" customFormat="1" x14ac:dyDescent="0.2">
      <c r="C39" s="37" t="s">
        <v>20</v>
      </c>
      <c r="D39" s="61">
        <f>D35+D38</f>
        <v>1218</v>
      </c>
      <c r="E39" s="61">
        <f>E35+E38</f>
        <v>1322</v>
      </c>
      <c r="F39" s="9">
        <f>F35+F38</f>
        <v>2710</v>
      </c>
      <c r="G39" s="9"/>
      <c r="H39" s="9">
        <f>H35+H38</f>
        <v>2497.6717923076922</v>
      </c>
      <c r="I39" s="9">
        <f>I35+I38</f>
        <v>2785.0476083653848</v>
      </c>
      <c r="J39" s="9">
        <f>J35+J38</f>
        <v>2689.3652491887024</v>
      </c>
      <c r="K39" s="9">
        <f>K35+K38</f>
        <v>3321.9185489990241</v>
      </c>
      <c r="L39" s="66">
        <f>L35+L38</f>
        <v>3321.9185489990241</v>
      </c>
      <c r="M39" s="25"/>
    </row>
    <row r="40" spans="3:18" s="7" customFormat="1" x14ac:dyDescent="0.2">
      <c r="D40" s="55"/>
      <c r="E40" s="55"/>
      <c r="F40" s="6"/>
      <c r="G40" s="6"/>
      <c r="H40" s="6"/>
      <c r="I40" s="6"/>
      <c r="J40" s="6"/>
      <c r="K40" s="6"/>
      <c r="L40" s="64"/>
      <c r="M40" s="25"/>
    </row>
    <row r="41" spans="3:18" s="7" customFormat="1" x14ac:dyDescent="0.2">
      <c r="C41" s="7" t="s">
        <v>5</v>
      </c>
      <c r="D41" s="55">
        <f>81+37</f>
        <v>118</v>
      </c>
      <c r="E41" s="55">
        <v>149</v>
      </c>
      <c r="F41" s="6">
        <v>621</v>
      </c>
      <c r="G41" s="6"/>
      <c r="H41" s="6">
        <v>382.74448000000001</v>
      </c>
      <c r="I41" s="6">
        <v>453.82212000000004</v>
      </c>
      <c r="J41" s="6">
        <v>391.25588000000005</v>
      </c>
      <c r="K41" s="6">
        <v>527.24016000000006</v>
      </c>
      <c r="L41" s="64">
        <f>K41</f>
        <v>527.24016000000006</v>
      </c>
      <c r="M41" s="25"/>
      <c r="N41" s="6"/>
      <c r="O41" s="6"/>
      <c r="P41" s="6"/>
      <c r="Q41" s="6"/>
    </row>
    <row r="42" spans="3:18" s="7" customFormat="1" x14ac:dyDescent="0.2">
      <c r="C42" s="7" t="s">
        <v>40</v>
      </c>
      <c r="D42" s="55">
        <v>72</v>
      </c>
      <c r="E42" s="55">
        <v>84</v>
      </c>
      <c r="F42" s="6">
        <v>232</v>
      </c>
      <c r="G42" s="6"/>
      <c r="H42" s="6">
        <v>232</v>
      </c>
      <c r="I42" s="6">
        <v>232</v>
      </c>
      <c r="J42" s="6">
        <v>232</v>
      </c>
      <c r="K42" s="6">
        <v>232</v>
      </c>
      <c r="L42" s="64">
        <f t="shared" ref="L42:L44" si="8">K42</f>
        <v>232</v>
      </c>
      <c r="M42" s="25"/>
      <c r="O42" s="6"/>
      <c r="P42" s="6"/>
      <c r="Q42" s="6"/>
      <c r="R42" s="6"/>
    </row>
    <row r="43" spans="3:18" s="7" customFormat="1" x14ac:dyDescent="0.2">
      <c r="C43" s="7" t="s">
        <v>44</v>
      </c>
      <c r="D43" s="55">
        <v>0</v>
      </c>
      <c r="E43" s="55">
        <v>0</v>
      </c>
      <c r="F43" s="6">
        <v>400</v>
      </c>
      <c r="G43" s="6"/>
      <c r="H43" s="6">
        <v>400</v>
      </c>
      <c r="I43" s="6">
        <v>400</v>
      </c>
      <c r="J43" s="6">
        <v>400</v>
      </c>
      <c r="K43" s="6">
        <v>400</v>
      </c>
      <c r="L43" s="64">
        <f>K43</f>
        <v>400</v>
      </c>
      <c r="M43" s="25"/>
    </row>
    <row r="44" spans="3:18" s="7" customFormat="1" x14ac:dyDescent="0.2">
      <c r="C44" s="7" t="s">
        <v>6</v>
      </c>
      <c r="D44" s="55">
        <v>122</v>
      </c>
      <c r="E44" s="55">
        <v>69</v>
      </c>
      <c r="F44" s="6">
        <v>177</v>
      </c>
      <c r="G44" s="6"/>
      <c r="H44" s="6">
        <v>145.48896000000002</v>
      </c>
      <c r="I44" s="6">
        <v>218.23344000000003</v>
      </c>
      <c r="J44" s="6">
        <v>185.90256000000002</v>
      </c>
      <c r="K44" s="6">
        <v>258.64704</v>
      </c>
      <c r="L44" s="64">
        <f t="shared" si="8"/>
        <v>258.64704</v>
      </c>
      <c r="M44" s="26"/>
    </row>
    <row r="45" spans="3:18" s="7" customFormat="1" x14ac:dyDescent="0.2">
      <c r="C45" s="52" t="s">
        <v>7</v>
      </c>
      <c r="D45" s="60">
        <f>SUM(D41:D44)</f>
        <v>312</v>
      </c>
      <c r="E45" s="60">
        <f>SUM(E41:E44)</f>
        <v>302</v>
      </c>
      <c r="F45" s="11">
        <f>SUM(F41:F44)</f>
        <v>1430</v>
      </c>
      <c r="G45" s="11"/>
      <c r="H45" s="11">
        <f>SUM(H41:H44)</f>
        <v>1160.23344</v>
      </c>
      <c r="I45" s="11">
        <f>SUM(I41:I44)</f>
        <v>1304.05556</v>
      </c>
      <c r="J45" s="11">
        <f>SUM(J41:J44)</f>
        <v>1209.1584400000002</v>
      </c>
      <c r="K45" s="11">
        <f>SUM(K41:K44)</f>
        <v>1417.8872000000001</v>
      </c>
      <c r="L45" s="65">
        <f>SUM(L41:L44)</f>
        <v>1417.8872000000001</v>
      </c>
      <c r="M45" s="25"/>
      <c r="O45" s="6"/>
      <c r="P45" s="6"/>
      <c r="Q45" s="6"/>
    </row>
    <row r="46" spans="3:18" s="7" customFormat="1" x14ac:dyDescent="0.2">
      <c r="C46" s="7" t="s">
        <v>8</v>
      </c>
      <c r="D46" s="55">
        <v>100</v>
      </c>
      <c r="E46" s="55">
        <f>D46</f>
        <v>100</v>
      </c>
      <c r="F46" s="6">
        <f>E46</f>
        <v>100</v>
      </c>
      <c r="G46" s="6"/>
      <c r="H46" s="6">
        <f>F46</f>
        <v>100</v>
      </c>
      <c r="I46" s="6">
        <f>H46</f>
        <v>100</v>
      </c>
      <c r="J46" s="6">
        <f t="shared" ref="J46:L46" si="9">I46</f>
        <v>100</v>
      </c>
      <c r="K46" s="6">
        <f t="shared" si="9"/>
        <v>100</v>
      </c>
      <c r="L46" s="64">
        <f t="shared" si="9"/>
        <v>100</v>
      </c>
      <c r="M46" s="25"/>
    </row>
    <row r="47" spans="3:18" s="7" customFormat="1" x14ac:dyDescent="0.2">
      <c r="C47" s="7" t="s">
        <v>9</v>
      </c>
      <c r="D47" s="55">
        <f>D39-D45-D46</f>
        <v>806</v>
      </c>
      <c r="E47" s="55">
        <f>E39-E45-E46</f>
        <v>920</v>
      </c>
      <c r="F47" s="6">
        <f>E47+F22-F72</f>
        <v>1180</v>
      </c>
      <c r="G47" s="6"/>
      <c r="H47" s="6">
        <f>F47+H22-H72</f>
        <v>1237.4383523076922</v>
      </c>
      <c r="I47" s="6">
        <f>H47+I22-I72</f>
        <v>1380.9920483653848</v>
      </c>
      <c r="J47" s="6">
        <f>I47+J22-J72</f>
        <v>1380.2068091887024</v>
      </c>
      <c r="K47" s="6">
        <f>J47+K22-K72</f>
        <v>1804.0313489990242</v>
      </c>
      <c r="L47" s="64">
        <f>K47</f>
        <v>1804.0313489990242</v>
      </c>
      <c r="M47" s="25"/>
      <c r="P47" s="6"/>
      <c r="Q47" s="6"/>
    </row>
    <row r="48" spans="3:18" s="7" customFormat="1" x14ac:dyDescent="0.2">
      <c r="C48" s="52" t="s">
        <v>10</v>
      </c>
      <c r="D48" s="60">
        <f>D46+D47</f>
        <v>906</v>
      </c>
      <c r="E48" s="60">
        <f>E46+E47</f>
        <v>1020</v>
      </c>
      <c r="F48" s="11">
        <f>F46+F47</f>
        <v>1280</v>
      </c>
      <c r="G48" s="11"/>
      <c r="H48" s="11">
        <f t="shared" ref="H48:I48" si="10">H46+H47</f>
        <v>1337.4383523076922</v>
      </c>
      <c r="I48" s="11">
        <f t="shared" si="10"/>
        <v>1480.9920483653848</v>
      </c>
      <c r="J48" s="11">
        <f t="shared" ref="J48:L48" si="11">J46+J47</f>
        <v>1480.2068091887024</v>
      </c>
      <c r="K48" s="11">
        <f t="shared" si="11"/>
        <v>1904.0313489990242</v>
      </c>
      <c r="L48" s="65">
        <f t="shared" si="11"/>
        <v>1904.0313489990242</v>
      </c>
      <c r="M48" s="25"/>
    </row>
    <row r="49" spans="2:13" s="7" customFormat="1" x14ac:dyDescent="0.2">
      <c r="C49" s="37" t="s">
        <v>11</v>
      </c>
      <c r="D49" s="61">
        <f>D48+D45</f>
        <v>1218</v>
      </c>
      <c r="E49" s="61">
        <f>E48+E45</f>
        <v>1322</v>
      </c>
      <c r="F49" s="9">
        <f>F48+F45</f>
        <v>2710</v>
      </c>
      <c r="G49" s="9"/>
      <c r="H49" s="9">
        <f t="shared" ref="H49:L49" si="12">H48+H45</f>
        <v>2497.6717923076922</v>
      </c>
      <c r="I49" s="9">
        <f t="shared" ref="I49" si="13">I48+I45</f>
        <v>2785.0476083653848</v>
      </c>
      <c r="J49" s="9">
        <f t="shared" si="12"/>
        <v>2689.3652491887024</v>
      </c>
      <c r="K49" s="9">
        <f t="shared" si="12"/>
        <v>3321.9185489990241</v>
      </c>
      <c r="L49" s="66">
        <f t="shared" si="12"/>
        <v>3321.9185489990241</v>
      </c>
      <c r="M49" s="25"/>
    </row>
    <row r="50" spans="2:13" x14ac:dyDescent="0.2">
      <c r="E50" s="1"/>
      <c r="F50" s="29"/>
      <c r="G50" s="29"/>
      <c r="H50" s="29"/>
      <c r="I50" s="29"/>
      <c r="J50" s="29"/>
      <c r="K50" s="29"/>
      <c r="L50" s="29"/>
    </row>
    <row r="51" spans="2:13" x14ac:dyDescent="0.2">
      <c r="E51" s="1"/>
      <c r="F51" s="17"/>
      <c r="G51" s="1"/>
      <c r="H51" s="1"/>
      <c r="I51" s="1"/>
      <c r="J51" s="1"/>
      <c r="K51" s="1"/>
      <c r="L51" s="1"/>
    </row>
    <row r="52" spans="2:13" x14ac:dyDescent="0.2">
      <c r="B52" s="71" t="s">
        <v>35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</row>
    <row r="53" spans="2:13" x14ac:dyDescent="0.2">
      <c r="E53" s="1"/>
      <c r="F53" s="1"/>
      <c r="G53" s="1"/>
      <c r="H53" s="1"/>
      <c r="I53" s="1"/>
      <c r="J53" s="1"/>
      <c r="K53" s="1"/>
      <c r="L53" s="1"/>
    </row>
    <row r="54" spans="2:13" s="7" customFormat="1" x14ac:dyDescent="0.2">
      <c r="C54" s="67"/>
      <c r="D54" s="67"/>
      <c r="E54" s="53">
        <v>2020</v>
      </c>
      <c r="F54" s="27">
        <v>2021</v>
      </c>
      <c r="G54" s="27"/>
      <c r="H54" s="38" t="s">
        <v>56</v>
      </c>
      <c r="I54" s="38" t="s">
        <v>57</v>
      </c>
      <c r="J54" s="38" t="s">
        <v>58</v>
      </c>
      <c r="K54" s="38" t="s">
        <v>59</v>
      </c>
      <c r="L54" s="27" t="s">
        <v>54</v>
      </c>
      <c r="M54" s="25"/>
    </row>
    <row r="55" spans="2:13" s="7" customFormat="1" x14ac:dyDescent="0.2">
      <c r="C55" s="32" t="s">
        <v>21</v>
      </c>
      <c r="D55" s="32"/>
      <c r="E55" s="54">
        <f>E22</f>
        <v>414</v>
      </c>
      <c r="F55" s="10">
        <f>F22</f>
        <v>260</v>
      </c>
      <c r="G55" s="10"/>
      <c r="H55" s="10">
        <f>H22</f>
        <v>57.438352307692298</v>
      </c>
      <c r="I55" s="10">
        <f>I22</f>
        <v>393.5536960576926</v>
      </c>
      <c r="J55" s="10">
        <f>J22</f>
        <v>249.21476082331765</v>
      </c>
      <c r="K55" s="10">
        <f>K22</f>
        <v>423.82453981032177</v>
      </c>
      <c r="L55" s="10">
        <f>SUM(H55:K55)</f>
        <v>1124.0313489990244</v>
      </c>
      <c r="M55" s="25"/>
    </row>
    <row r="56" spans="2:13" s="7" customFormat="1" x14ac:dyDescent="0.2">
      <c r="C56" s="33" t="s">
        <v>46</v>
      </c>
      <c r="D56" s="33"/>
      <c r="E56" s="55">
        <f>E19*0.79</f>
        <v>14.22</v>
      </c>
      <c r="F56" s="6">
        <f>F19*0.79</f>
        <v>11.850000000000001</v>
      </c>
      <c r="G56" s="6"/>
      <c r="H56" s="6">
        <f>H19*0.79</f>
        <v>3.16</v>
      </c>
      <c r="I56" s="6">
        <f>I19*0.79</f>
        <v>3.16</v>
      </c>
      <c r="J56" s="6">
        <f>J19*0.79</f>
        <v>2.37</v>
      </c>
      <c r="K56" s="6">
        <f>K19*0.79</f>
        <v>2.37</v>
      </c>
      <c r="L56" s="6">
        <f>SUM(H56:K56)</f>
        <v>11.060000000000002</v>
      </c>
      <c r="M56" s="25"/>
    </row>
    <row r="57" spans="2:13" s="7" customFormat="1" x14ac:dyDescent="0.2">
      <c r="C57" s="37" t="s">
        <v>15</v>
      </c>
      <c r="D57" s="37"/>
      <c r="E57" s="61">
        <f>E55+E56</f>
        <v>428.22</v>
      </c>
      <c r="F57" s="9">
        <f>F55+F56</f>
        <v>271.85000000000002</v>
      </c>
      <c r="G57" s="9"/>
      <c r="H57" s="9">
        <f>H55+H56</f>
        <v>60.598352307692295</v>
      </c>
      <c r="I57" s="9">
        <f>I55+I56</f>
        <v>396.71369605769263</v>
      </c>
      <c r="J57" s="9">
        <f t="shared" ref="J57:L57" si="14">J55+J56</f>
        <v>251.58476082331765</v>
      </c>
      <c r="K57" s="9">
        <f t="shared" si="14"/>
        <v>426.19453981032177</v>
      </c>
      <c r="L57" s="9">
        <f t="shared" si="14"/>
        <v>1135.0913489990244</v>
      </c>
      <c r="M57" s="25"/>
    </row>
    <row r="58" spans="2:13" s="7" customFormat="1" x14ac:dyDescent="0.2">
      <c r="C58" s="33" t="s">
        <v>22</v>
      </c>
      <c r="D58" s="33"/>
      <c r="E58" s="55">
        <f>E15</f>
        <v>101</v>
      </c>
      <c r="F58" s="6">
        <f>F15</f>
        <v>172</v>
      </c>
      <c r="G58" s="6"/>
      <c r="H58" s="6">
        <f>H15</f>
        <v>26.4375</v>
      </c>
      <c r="I58" s="6">
        <f>I15</f>
        <v>27.91015625</v>
      </c>
      <c r="J58" s="6">
        <f>J15</f>
        <v>28.040771484375</v>
      </c>
      <c r="K58" s="6">
        <f>K15</f>
        <v>28.788223266601562</v>
      </c>
      <c r="L58" s="6">
        <f>SUM(H58:K58)</f>
        <v>111.17665100097656</v>
      </c>
      <c r="M58" s="25"/>
    </row>
    <row r="59" spans="2:13" s="7" customFormat="1" x14ac:dyDescent="0.2">
      <c r="C59" s="33" t="s">
        <v>49</v>
      </c>
      <c r="D59" s="33"/>
      <c r="E59" s="55">
        <f t="shared" ref="E59:F62" si="15">E31-D31</f>
        <v>8</v>
      </c>
      <c r="F59" s="6">
        <f t="shared" si="15"/>
        <v>45</v>
      </c>
      <c r="G59" s="6"/>
      <c r="H59" s="6">
        <f>H31-F31</f>
        <v>8.2788309615384605</v>
      </c>
      <c r="I59" s="6">
        <f>I31-H31</f>
        <v>47.909230468749996</v>
      </c>
      <c r="J59" s="6">
        <f t="shared" ref="J59:K59" si="16">J31-I31</f>
        <v>-21.738525185546877</v>
      </c>
      <c r="K59" s="6">
        <f t="shared" si="16"/>
        <v>73.252878792395961</v>
      </c>
      <c r="L59" s="6">
        <f>SUM(H59:K59)</f>
        <v>107.70241503713754</v>
      </c>
      <c r="M59" s="25"/>
    </row>
    <row r="60" spans="2:13" s="7" customFormat="1" x14ac:dyDescent="0.2">
      <c r="C60" s="33" t="s">
        <v>23</v>
      </c>
      <c r="D60" s="33"/>
      <c r="E60" s="55">
        <f t="shared" si="15"/>
        <v>-11</v>
      </c>
      <c r="F60" s="6">
        <f t="shared" si="15"/>
        <v>575</v>
      </c>
      <c r="G60" s="6"/>
      <c r="H60" s="6">
        <f>H32-F32</f>
        <v>-155</v>
      </c>
      <c r="I60" s="6">
        <f>I32-H32</f>
        <v>76</v>
      </c>
      <c r="J60" s="6">
        <f t="shared" ref="J60:K62" si="17">J32-I32</f>
        <v>-57.717333333333272</v>
      </c>
      <c r="K60" s="6">
        <f t="shared" si="17"/>
        <v>314.32799999999997</v>
      </c>
      <c r="L60" s="6">
        <f>SUM(H60:K60)</f>
        <v>177.6106666666667</v>
      </c>
      <c r="M60" s="25"/>
    </row>
    <row r="61" spans="2:13" s="7" customFormat="1" x14ac:dyDescent="0.2">
      <c r="C61" s="33" t="s">
        <v>24</v>
      </c>
      <c r="D61" s="33"/>
      <c r="E61" s="55">
        <f t="shared" si="15"/>
        <v>-4</v>
      </c>
      <c r="F61" s="6">
        <f t="shared" si="15"/>
        <v>534</v>
      </c>
      <c r="G61" s="6"/>
      <c r="H61" s="6">
        <f>H33-F33</f>
        <v>23</v>
      </c>
      <c r="I61" s="6">
        <f>I33-H33</f>
        <v>24</v>
      </c>
      <c r="J61" s="6">
        <f t="shared" si="17"/>
        <v>24</v>
      </c>
      <c r="K61" s="6">
        <f t="shared" si="17"/>
        <v>25</v>
      </c>
      <c r="L61" s="6">
        <f>SUM(H61:K61)</f>
        <v>96</v>
      </c>
      <c r="M61" s="25"/>
    </row>
    <row r="62" spans="2:13" s="7" customFormat="1" x14ac:dyDescent="0.2">
      <c r="C62" s="33" t="s">
        <v>25</v>
      </c>
      <c r="D62" s="33"/>
      <c r="E62" s="55">
        <f t="shared" si="15"/>
        <v>58</v>
      </c>
      <c r="F62" s="6">
        <f t="shared" si="15"/>
        <v>137</v>
      </c>
      <c r="G62" s="6"/>
      <c r="H62" s="6">
        <f>H34-F34</f>
        <v>-41.550000000000011</v>
      </c>
      <c r="I62" s="6">
        <f>I34-H34</f>
        <v>7.5500000000000114</v>
      </c>
      <c r="J62" s="6">
        <f t="shared" si="17"/>
        <v>7</v>
      </c>
      <c r="K62" s="6">
        <f t="shared" si="17"/>
        <v>8</v>
      </c>
      <c r="L62" s="6">
        <f t="shared" ref="L62:L64" si="18">SUM(H62:K62)</f>
        <v>-19</v>
      </c>
      <c r="M62" s="25"/>
    </row>
    <row r="63" spans="2:13" s="7" customFormat="1" x14ac:dyDescent="0.2">
      <c r="C63" s="33" t="s">
        <v>26</v>
      </c>
      <c r="D63" s="33"/>
      <c r="E63" s="55">
        <f>E41-D41</f>
        <v>31</v>
      </c>
      <c r="F63" s="6">
        <f>F41-E41</f>
        <v>472</v>
      </c>
      <c r="G63" s="6"/>
      <c r="H63" s="6">
        <f>H41-F41</f>
        <v>-238.25551999999999</v>
      </c>
      <c r="I63" s="6">
        <f>I41-H41</f>
        <v>71.077640000000031</v>
      </c>
      <c r="J63" s="6">
        <f>J41-I41</f>
        <v>-62.566239999999993</v>
      </c>
      <c r="K63" s="6">
        <f>K41-J41</f>
        <v>135.98428000000001</v>
      </c>
      <c r="L63" s="6">
        <f t="shared" si="18"/>
        <v>-93.75983999999994</v>
      </c>
      <c r="M63" s="25"/>
    </row>
    <row r="64" spans="2:13" s="7" customFormat="1" x14ac:dyDescent="0.2">
      <c r="C64" s="33" t="s">
        <v>27</v>
      </c>
      <c r="D64" s="33"/>
      <c r="E64" s="55">
        <f>E44-D44</f>
        <v>-53</v>
      </c>
      <c r="F64" s="6">
        <f>F44-E44</f>
        <v>108</v>
      </c>
      <c r="G64" s="6"/>
      <c r="H64" s="6">
        <f>H44-F44</f>
        <v>-31.51103999999998</v>
      </c>
      <c r="I64" s="6">
        <f>I44-H44</f>
        <v>72.74448000000001</v>
      </c>
      <c r="J64" s="6">
        <f>J44-I44</f>
        <v>-32.330880000000008</v>
      </c>
      <c r="K64" s="6">
        <f>K44-J44</f>
        <v>72.744479999999982</v>
      </c>
      <c r="L64" s="6">
        <f t="shared" si="18"/>
        <v>81.647040000000004</v>
      </c>
      <c r="M64" s="25"/>
    </row>
    <row r="65" spans="3:13" s="7" customFormat="1" x14ac:dyDescent="0.2">
      <c r="C65" s="37" t="s">
        <v>28</v>
      </c>
      <c r="D65" s="37"/>
      <c r="E65" s="61">
        <f>E57+E58-SUM(E59:E62)+SUM(E63:E64)</f>
        <v>456.22</v>
      </c>
      <c r="F65" s="9">
        <f>F57+F58-SUM(F59:F62)+SUM(F63:F64)</f>
        <v>-267.14999999999998</v>
      </c>
      <c r="G65" s="9"/>
      <c r="H65" s="9">
        <f>H57+H58-SUM(H59:H62)+SUM(H63:H64)</f>
        <v>-17.459538653846124</v>
      </c>
      <c r="I65" s="9">
        <f>I57+I58-SUM(I59:I62)+SUM(I63:I64)</f>
        <v>412.98674183894263</v>
      </c>
      <c r="J65" s="9">
        <f>J57+J58-SUM(J59:J62)+SUM(J63:J64)</f>
        <v>233.18427082657283</v>
      </c>
      <c r="K65" s="9">
        <f>K57+K58-SUM(K59:K62)+SUM(K63:K64)</f>
        <v>243.13064428452739</v>
      </c>
      <c r="L65" s="9">
        <f>L57+L58-SUM(L60:L62)+SUM(L63:L64)</f>
        <v>979.54453333333436</v>
      </c>
      <c r="M65" s="25"/>
    </row>
    <row r="66" spans="3:13" s="7" customFormat="1" x14ac:dyDescent="0.2">
      <c r="C66" s="33" t="s">
        <v>29</v>
      </c>
      <c r="D66" s="33"/>
      <c r="E66" s="55">
        <f>E36-D36+E58</f>
        <v>278</v>
      </c>
      <c r="F66" s="6">
        <f>F38-E38+F15</f>
        <v>367</v>
      </c>
      <c r="G66" s="6"/>
      <c r="H66" s="6">
        <v>45</v>
      </c>
      <c r="I66" s="6">
        <v>50</v>
      </c>
      <c r="J66" s="6">
        <v>30</v>
      </c>
      <c r="K66" s="6">
        <v>40</v>
      </c>
      <c r="L66" s="6">
        <f>SUM(H66:K66)</f>
        <v>165</v>
      </c>
      <c r="M66" s="25"/>
    </row>
    <row r="67" spans="3:13" s="7" customFormat="1" x14ac:dyDescent="0.2">
      <c r="C67" s="37" t="s">
        <v>30</v>
      </c>
      <c r="D67" s="37"/>
      <c r="E67" s="61">
        <f>E65-E66</f>
        <v>178.22000000000003</v>
      </c>
      <c r="F67" s="9">
        <f>F65-F66</f>
        <v>-634.15</v>
      </c>
      <c r="G67" s="9"/>
      <c r="H67" s="9">
        <f>H65-H66</f>
        <v>-62.459538653846124</v>
      </c>
      <c r="I67" s="9">
        <f>I65-I66</f>
        <v>362.98674183894263</v>
      </c>
      <c r="J67" s="9">
        <f>J65-J66</f>
        <v>203.18427082657283</v>
      </c>
      <c r="K67" s="9">
        <f>K65-K66</f>
        <v>203.13064428452739</v>
      </c>
      <c r="L67" s="9">
        <f t="shared" ref="L67" si="19">L65-L66</f>
        <v>814.54453333333436</v>
      </c>
      <c r="M67" s="25"/>
    </row>
    <row r="68" spans="3:13" s="7" customFormat="1" x14ac:dyDescent="0.2">
      <c r="C68" s="33" t="s">
        <v>41</v>
      </c>
      <c r="D68" s="33"/>
      <c r="E68" s="55">
        <f>E56</f>
        <v>14.22</v>
      </c>
      <c r="F68" s="6">
        <f>F56</f>
        <v>11.850000000000001</v>
      </c>
      <c r="G68" s="6"/>
      <c r="H68" s="6">
        <f>H56</f>
        <v>3.16</v>
      </c>
      <c r="I68" s="6">
        <f>I56</f>
        <v>3.16</v>
      </c>
      <c r="J68" s="6">
        <f>J56</f>
        <v>2.37</v>
      </c>
      <c r="K68" s="6">
        <f>K56</f>
        <v>2.37</v>
      </c>
      <c r="L68" s="6">
        <f>L56</f>
        <v>11.060000000000002</v>
      </c>
      <c r="M68" s="25"/>
    </row>
    <row r="69" spans="3:13" s="7" customFormat="1" x14ac:dyDescent="0.2">
      <c r="C69" s="33" t="s">
        <v>60</v>
      </c>
      <c r="D69" s="33"/>
      <c r="E69" s="55"/>
      <c r="F69" s="6">
        <f>F43-E43</f>
        <v>400</v>
      </c>
      <c r="G69" s="6"/>
      <c r="H69" s="6">
        <f>H43-F43</f>
        <v>0</v>
      </c>
      <c r="I69" s="6">
        <f>I43-H43</f>
        <v>0</v>
      </c>
      <c r="J69" s="6">
        <f>J43-I43</f>
        <v>0</v>
      </c>
      <c r="K69" s="6">
        <f>K43-J43</f>
        <v>0</v>
      </c>
      <c r="L69" s="6">
        <f>SUM(H69:K69)</f>
        <v>0</v>
      </c>
      <c r="M69" s="25"/>
    </row>
    <row r="70" spans="3:13" s="7" customFormat="1" x14ac:dyDescent="0.2">
      <c r="C70" s="33" t="s">
        <v>42</v>
      </c>
      <c r="D70" s="33"/>
      <c r="E70" s="55">
        <f>SUM(E42:E42)-SUM(D42:D42)</f>
        <v>12</v>
      </c>
      <c r="F70" s="6">
        <f>F42-E42</f>
        <v>148</v>
      </c>
      <c r="G70" s="6"/>
      <c r="H70" s="6">
        <f>SUM(H42:H42)-SUM(F42)</f>
        <v>0</v>
      </c>
      <c r="I70" s="6">
        <f>SUM(I42:I42)-SUM(H42:H42)</f>
        <v>0</v>
      </c>
      <c r="J70" s="6">
        <f>SUM(J42:J42)-SUM(I42:I42)</f>
        <v>0</v>
      </c>
      <c r="K70" s="6">
        <f>SUM(K42:K42)-SUM(J42:J42)</f>
        <v>0</v>
      </c>
      <c r="L70" s="6">
        <f t="shared" ref="L70" si="20">SUM(H70:K70)</f>
        <v>0</v>
      </c>
      <c r="M70" s="25"/>
    </row>
    <row r="71" spans="3:13" s="7" customFormat="1" x14ac:dyDescent="0.2">
      <c r="C71" s="37" t="s">
        <v>31</v>
      </c>
      <c r="D71" s="37"/>
      <c r="E71" s="61">
        <f>E67-E68+E70</f>
        <v>176.00000000000003</v>
      </c>
      <c r="F71" s="9">
        <f>F67-F68+F69+F70</f>
        <v>-98</v>
      </c>
      <c r="G71" s="9"/>
      <c r="H71" s="9">
        <f>H67-H68+H69+H70</f>
        <v>-65.619538653846121</v>
      </c>
      <c r="I71" s="9">
        <f t="shared" ref="I71:K71" si="21">I67-I68+I69+I70</f>
        <v>359.82674183894261</v>
      </c>
      <c r="J71" s="9">
        <f t="shared" si="21"/>
        <v>200.81427082657282</v>
      </c>
      <c r="K71" s="9">
        <f t="shared" si="21"/>
        <v>200.76064428452739</v>
      </c>
      <c r="L71" s="9">
        <f>SUM(H71:K71)</f>
        <v>695.7821182961967</v>
      </c>
      <c r="M71" s="25"/>
    </row>
    <row r="72" spans="3:13" s="7" customFormat="1" x14ac:dyDescent="0.2">
      <c r="C72" s="33" t="s">
        <v>32</v>
      </c>
      <c r="D72" s="33"/>
      <c r="E72" s="55">
        <v>300</v>
      </c>
      <c r="F72" s="6">
        <v>0</v>
      </c>
      <c r="G72" s="6"/>
      <c r="H72" s="6">
        <v>0</v>
      </c>
      <c r="I72" s="6">
        <v>250</v>
      </c>
      <c r="J72" s="6">
        <v>250</v>
      </c>
      <c r="K72" s="6">
        <v>0</v>
      </c>
      <c r="L72" s="6">
        <f>SUM(H72:K72)</f>
        <v>500</v>
      </c>
      <c r="M72" s="25"/>
    </row>
    <row r="73" spans="3:13" s="7" customFormat="1" x14ac:dyDescent="0.2">
      <c r="C73" s="37" t="s">
        <v>61</v>
      </c>
      <c r="D73" s="37"/>
      <c r="E73" s="61">
        <f>E71-E72</f>
        <v>-123.99999999999997</v>
      </c>
      <c r="F73" s="9">
        <f>F71-F72</f>
        <v>-98</v>
      </c>
      <c r="G73" s="9"/>
      <c r="H73" s="9">
        <f>H71-H72</f>
        <v>-65.619538653846121</v>
      </c>
      <c r="I73" s="9">
        <f>I71-I72</f>
        <v>109.82674183894261</v>
      </c>
      <c r="J73" s="9">
        <f>J71-J72</f>
        <v>-49.185729173427177</v>
      </c>
      <c r="K73" s="9">
        <f>K71-K72</f>
        <v>200.76064428452739</v>
      </c>
      <c r="L73" s="9">
        <f t="shared" ref="L73" si="22">L71-L72</f>
        <v>195.7821182961967</v>
      </c>
      <c r="M73" s="72"/>
    </row>
    <row r="74" spans="3:13" s="7" customFormat="1" x14ac:dyDescent="0.2">
      <c r="M74" s="25"/>
    </row>
    <row r="75" spans="3:13" s="7" customFormat="1" x14ac:dyDescent="0.2">
      <c r="E75" s="13"/>
      <c r="F75" s="13"/>
      <c r="G75" s="13"/>
      <c r="L75" s="6"/>
      <c r="M75" s="25"/>
    </row>
  </sheetData>
  <mergeCells count="3">
    <mergeCell ref="B26:M26"/>
    <mergeCell ref="B52:M52"/>
    <mergeCell ref="B4:M4"/>
  </mergeCells>
  <phoneticPr fontId="4" type="noConversion"/>
  <pageMargins left="0.7" right="0.7" top="0.75" bottom="0.75" header="0.3" footer="0.3"/>
  <pageSetup paperSize="9" scale="56" orientation="portrait" copies="2" r:id="rId1"/>
  <rowBreaks count="1" manualBreakCount="1">
    <brk id="2" max="16383" man="1"/>
  </rowBreaks>
  <ignoredErrors>
    <ignoredError sqref="L35 L45 L57:L6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94F3B-B814-8A43-9590-42E00446D7DA}">
  <dimension ref="A1"/>
  <sheetViews>
    <sheetView workbookViewId="0">
      <selection activeCell="D66" sqref="D66"/>
    </sheetView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Base Case</vt:lpstr>
      <vt:lpstr>Sheet1</vt:lpstr>
      <vt:lpstr>'Base Case'!Print_Area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cp:lastPrinted>2021-05-03T05:52:02Z</cp:lastPrinted>
  <dcterms:created xsi:type="dcterms:W3CDTF">2020-11-12T08:53:23Z</dcterms:created>
  <dcterms:modified xsi:type="dcterms:W3CDTF">2022-05-20T04:29:09Z</dcterms:modified>
</cp:coreProperties>
</file>