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Urs/Library/Mobile Documents/com~apple~CloudDocs/Teaching/CERBO/Finanzplanung/"/>
    </mc:Choice>
  </mc:AlternateContent>
  <xr:revisionPtr revIDLastSave="0" documentId="13_ncr:1_{88B1DB3E-5F40-A443-B550-C827F0CC4FB9}" xr6:coauthVersionLast="47" xr6:coauthVersionMax="47" xr10:uidLastSave="{00000000-0000-0000-0000-000000000000}"/>
  <bookViews>
    <workbookView xWindow="2460" yWindow="980" windowWidth="31380" windowHeight="20720" activeTab="1" xr2:uid="{4CD422DB-92E3-9E45-A5B4-7EE17060C5DA}"/>
  </bookViews>
  <sheets>
    <sheet name="BLT AG" sheetId="1" r:id="rId1"/>
    <sheet name="BLT AG nach Zusammenschluss" sheetId="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76" i="1"/>
  <c r="G79" i="1"/>
  <c r="H110" i="4"/>
  <c r="I110" i="4"/>
  <c r="J110" i="4"/>
  <c r="K110" i="4"/>
  <c r="L110" i="4"/>
  <c r="G105" i="4"/>
  <c r="H105" i="4"/>
  <c r="I105" i="4"/>
  <c r="J105" i="4"/>
  <c r="K105" i="4"/>
  <c r="L105" i="4"/>
  <c r="F105" i="4"/>
  <c r="F104" i="4"/>
  <c r="F101" i="4"/>
  <c r="G99" i="4"/>
  <c r="G101" i="4" s="1"/>
  <c r="H101" i="1"/>
  <c r="I101" i="1"/>
  <c r="J101" i="1"/>
  <c r="K101" i="1"/>
  <c r="L101" i="1"/>
  <c r="H98" i="1"/>
  <c r="I98" i="1"/>
  <c r="J98" i="1"/>
  <c r="K98" i="1"/>
  <c r="L98" i="1"/>
  <c r="G96" i="1"/>
  <c r="H96" i="1" s="1"/>
  <c r="I96" i="1" s="1"/>
  <c r="J96" i="1" s="1"/>
  <c r="K96" i="1" s="1"/>
  <c r="L96" i="1" s="1"/>
  <c r="I22" i="4"/>
  <c r="J22" i="4" s="1"/>
  <c r="K22" i="4" s="1"/>
  <c r="L22" i="4" s="1"/>
  <c r="N59" i="4"/>
  <c r="G57" i="4" s="1"/>
  <c r="H57" i="4" s="1"/>
  <c r="I57" i="4" s="1"/>
  <c r="J57" i="4" s="1"/>
  <c r="K57" i="4" s="1"/>
  <c r="L57" i="4" s="1"/>
  <c r="G56" i="4"/>
  <c r="G55" i="4"/>
  <c r="G54" i="4"/>
  <c r="G62" i="4"/>
  <c r="H44" i="4" s="1"/>
  <c r="H76" i="4" s="1"/>
  <c r="H84" i="4" s="1"/>
  <c r="G61" i="4"/>
  <c r="G70" i="4" s="1"/>
  <c r="L85" i="4"/>
  <c r="H30" i="4"/>
  <c r="L87" i="4"/>
  <c r="K87" i="4"/>
  <c r="J87" i="4"/>
  <c r="I87" i="4"/>
  <c r="H87" i="4"/>
  <c r="G87" i="4"/>
  <c r="F87" i="4"/>
  <c r="E87" i="4"/>
  <c r="K85" i="4"/>
  <c r="J85" i="4"/>
  <c r="I85" i="4"/>
  <c r="H85" i="4"/>
  <c r="G85" i="4"/>
  <c r="F85" i="4"/>
  <c r="E85" i="4"/>
  <c r="G82" i="4"/>
  <c r="G40" i="4" s="1"/>
  <c r="G78" i="4" s="1"/>
  <c r="F78" i="4"/>
  <c r="F82" i="4" s="1"/>
  <c r="E78" i="4"/>
  <c r="E82" i="4" s="1"/>
  <c r="L44" i="4"/>
  <c r="L76" i="4" s="1"/>
  <c r="L84" i="4" s="1"/>
  <c r="K44" i="4"/>
  <c r="K76" i="4" s="1"/>
  <c r="K84" i="4" s="1"/>
  <c r="J44" i="4"/>
  <c r="J76" i="4" s="1"/>
  <c r="J84" i="4" s="1"/>
  <c r="I44" i="4"/>
  <c r="I76" i="4" s="1"/>
  <c r="I84" i="4" s="1"/>
  <c r="G44" i="4"/>
  <c r="G76" i="4" s="1"/>
  <c r="G84" i="4" s="1"/>
  <c r="F44" i="4"/>
  <c r="F76" i="4" s="1"/>
  <c r="F84" i="4" s="1"/>
  <c r="E44" i="4"/>
  <c r="E76" i="4" s="1"/>
  <c r="E84" i="4" s="1"/>
  <c r="D44" i="4"/>
  <c r="G37" i="4"/>
  <c r="G34" i="4"/>
  <c r="G31" i="4"/>
  <c r="G32" i="4" s="1"/>
  <c r="F30" i="4"/>
  <c r="F61" i="4" s="1"/>
  <c r="H23" i="4"/>
  <c r="I23" i="4" s="1"/>
  <c r="J23" i="4" s="1"/>
  <c r="K23" i="4" s="1"/>
  <c r="L23" i="4" s="1"/>
  <c r="J9" i="4"/>
  <c r="K9" i="4" s="1"/>
  <c r="L9" i="4" s="1"/>
  <c r="E76" i="1"/>
  <c r="E79" i="1" s="1"/>
  <c r="G59" i="1"/>
  <c r="G61" i="1" s="1"/>
  <c r="G54" i="1"/>
  <c r="I9" i="1"/>
  <c r="J9" i="1" s="1"/>
  <c r="K9" i="1" s="1"/>
  <c r="L9" i="1" s="1"/>
  <c r="F84" i="1"/>
  <c r="G84" i="1"/>
  <c r="H84" i="1"/>
  <c r="I84" i="1"/>
  <c r="J84" i="1"/>
  <c r="K84" i="1"/>
  <c r="L84" i="1"/>
  <c r="F82" i="1"/>
  <c r="G82" i="1"/>
  <c r="H82" i="1"/>
  <c r="I82" i="1"/>
  <c r="J82" i="1"/>
  <c r="K82" i="1"/>
  <c r="L82" i="1"/>
  <c r="E84" i="1"/>
  <c r="E82" i="1"/>
  <c r="H23" i="1"/>
  <c r="I23" i="1" s="1"/>
  <c r="J23" i="1" s="1"/>
  <c r="K23" i="1" s="1"/>
  <c r="L23" i="1" s="1"/>
  <c r="F74" i="1"/>
  <c r="F81" i="1" s="1"/>
  <c r="G43" i="1"/>
  <c r="G74" i="1" s="1"/>
  <c r="G81" i="1" s="1"/>
  <c r="H43" i="1"/>
  <c r="H74" i="1" s="1"/>
  <c r="H81" i="1" s="1"/>
  <c r="I43" i="1"/>
  <c r="I74" i="1" s="1"/>
  <c r="I81" i="1" s="1"/>
  <c r="J43" i="1"/>
  <c r="J74" i="1" s="1"/>
  <c r="J81" i="1" s="1"/>
  <c r="K43" i="1"/>
  <c r="K74" i="1" s="1"/>
  <c r="K81" i="1" s="1"/>
  <c r="L43" i="1"/>
  <c r="L74" i="1" s="1"/>
  <c r="L81" i="1" s="1"/>
  <c r="E74" i="1"/>
  <c r="E81" i="1" s="1"/>
  <c r="G53" i="1"/>
  <c r="G37" i="1"/>
  <c r="G34" i="1"/>
  <c r="G31" i="1"/>
  <c r="G32" i="1" s="1"/>
  <c r="H30" i="1"/>
  <c r="H34" i="1" s="1"/>
  <c r="G104" i="4" l="1"/>
  <c r="H99" i="4"/>
  <c r="G68" i="1"/>
  <c r="H41" i="4"/>
  <c r="H78" i="4" s="1"/>
  <c r="H42" i="4"/>
  <c r="L41" i="4"/>
  <c r="K41" i="4"/>
  <c r="J41" i="4"/>
  <c r="I41" i="4"/>
  <c r="G35" i="4"/>
  <c r="E30" i="4"/>
  <c r="E55" i="4" s="1"/>
  <c r="G63" i="4"/>
  <c r="I30" i="4"/>
  <c r="I31" i="4" s="1"/>
  <c r="H54" i="4"/>
  <c r="F63" i="4"/>
  <c r="I37" i="4"/>
  <c r="I55" i="4"/>
  <c r="J30" i="4"/>
  <c r="I54" i="4"/>
  <c r="G36" i="4"/>
  <c r="G38" i="4"/>
  <c r="H55" i="4"/>
  <c r="E34" i="4"/>
  <c r="F34" i="4"/>
  <c r="E31" i="4"/>
  <c r="G33" i="4"/>
  <c r="F37" i="4"/>
  <c r="E54" i="4"/>
  <c r="E59" i="4" s="1"/>
  <c r="H31" i="4"/>
  <c r="H32" i="4" s="1"/>
  <c r="H82" i="4"/>
  <c r="H34" i="4"/>
  <c r="H37" i="4"/>
  <c r="F55" i="4"/>
  <c r="F31" i="4"/>
  <c r="F32" i="4" s="1"/>
  <c r="F54" i="4"/>
  <c r="H61" i="4"/>
  <c r="F61" i="1"/>
  <c r="H59" i="1"/>
  <c r="H61" i="1" s="1"/>
  <c r="H54" i="1"/>
  <c r="H79" i="1"/>
  <c r="H53" i="1"/>
  <c r="G57" i="1"/>
  <c r="H31" i="1"/>
  <c r="H32" i="1" s="1"/>
  <c r="F32" i="1"/>
  <c r="G35" i="1"/>
  <c r="G33" i="1"/>
  <c r="I30" i="1"/>
  <c r="H37" i="1"/>
  <c r="H101" i="4" l="1"/>
  <c r="I99" i="4"/>
  <c r="H104" i="4"/>
  <c r="K42" i="4"/>
  <c r="K78" i="4"/>
  <c r="L78" i="4"/>
  <c r="L42" i="4"/>
  <c r="I42" i="4"/>
  <c r="I78" i="4"/>
  <c r="J42" i="4"/>
  <c r="J78" i="4"/>
  <c r="D30" i="4"/>
  <c r="D32" i="4" s="1"/>
  <c r="E61" i="4"/>
  <c r="E63" i="4" s="1"/>
  <c r="E95" i="4"/>
  <c r="F59" i="4"/>
  <c r="F95" i="4" s="1"/>
  <c r="E37" i="4"/>
  <c r="I34" i="4"/>
  <c r="I82" i="4"/>
  <c r="I61" i="4"/>
  <c r="I63" i="4" s="1"/>
  <c r="I32" i="4"/>
  <c r="I33" i="4" s="1"/>
  <c r="E32" i="4"/>
  <c r="E35" i="4" s="1"/>
  <c r="F33" i="4"/>
  <c r="F35" i="4"/>
  <c r="H35" i="4"/>
  <c r="H33" i="4"/>
  <c r="G39" i="4"/>
  <c r="G42" i="4"/>
  <c r="H70" i="4"/>
  <c r="H79" i="4" s="1"/>
  <c r="H63" i="4"/>
  <c r="D61" i="4"/>
  <c r="D37" i="4"/>
  <c r="D55" i="4"/>
  <c r="D54" i="4"/>
  <c r="D59" i="4" s="1"/>
  <c r="D31" i="4"/>
  <c r="D34" i="4"/>
  <c r="E70" i="4"/>
  <c r="H40" i="4"/>
  <c r="J37" i="4"/>
  <c r="J61" i="4"/>
  <c r="J82" i="4"/>
  <c r="J31" i="4"/>
  <c r="J32" i="4" s="1"/>
  <c r="J55" i="4"/>
  <c r="J34" i="4"/>
  <c r="J54" i="4"/>
  <c r="K30" i="4"/>
  <c r="F70" i="4"/>
  <c r="F68" i="1"/>
  <c r="G77" i="1" s="1"/>
  <c r="H68" i="1"/>
  <c r="H77" i="1" s="1"/>
  <c r="G64" i="1"/>
  <c r="G92" i="1"/>
  <c r="E61" i="1"/>
  <c r="I59" i="1"/>
  <c r="I54" i="1"/>
  <c r="H40" i="1"/>
  <c r="H55" i="1" s="1"/>
  <c r="G65" i="1"/>
  <c r="G66" i="1" s="1"/>
  <c r="I61" i="1"/>
  <c r="I79" i="1"/>
  <c r="I53" i="1"/>
  <c r="H35" i="1"/>
  <c r="H33" i="1"/>
  <c r="F35" i="1"/>
  <c r="F33" i="1"/>
  <c r="E32" i="1"/>
  <c r="I31" i="1"/>
  <c r="I32" i="1" s="1"/>
  <c r="I34" i="1"/>
  <c r="I37" i="1"/>
  <c r="J30" i="1"/>
  <c r="G38" i="1"/>
  <c r="G36" i="1"/>
  <c r="E57" i="1" l="1"/>
  <c r="E92" i="1" s="1"/>
  <c r="I101" i="4"/>
  <c r="J99" i="4"/>
  <c r="I104" i="4"/>
  <c r="E33" i="4"/>
  <c r="I35" i="4"/>
  <c r="I70" i="4"/>
  <c r="F96" i="4"/>
  <c r="H56" i="4"/>
  <c r="I79" i="4"/>
  <c r="F79" i="4"/>
  <c r="K61" i="4"/>
  <c r="K37" i="4"/>
  <c r="K31" i="4"/>
  <c r="K32" i="4" s="1"/>
  <c r="K54" i="4"/>
  <c r="K55" i="4"/>
  <c r="L30" i="4"/>
  <c r="K82" i="4"/>
  <c r="K34" i="4"/>
  <c r="E36" i="4"/>
  <c r="E38" i="4"/>
  <c r="D33" i="4"/>
  <c r="D35" i="4"/>
  <c r="G43" i="4"/>
  <c r="G45" i="4"/>
  <c r="G46" i="4"/>
  <c r="F38" i="4"/>
  <c r="F36" i="4"/>
  <c r="I36" i="4"/>
  <c r="I38" i="4"/>
  <c r="J33" i="4"/>
  <c r="J35" i="4"/>
  <c r="D95" i="4"/>
  <c r="E96" i="4" s="1"/>
  <c r="H38" i="4"/>
  <c r="H36" i="4"/>
  <c r="J70" i="4"/>
  <c r="J79" i="4" s="1"/>
  <c r="J63" i="4"/>
  <c r="D70" i="4"/>
  <c r="E79" i="4" s="1"/>
  <c r="D63" i="4"/>
  <c r="D66" i="4" s="1"/>
  <c r="D61" i="1"/>
  <c r="J59" i="1"/>
  <c r="J61" i="1" s="1"/>
  <c r="J54" i="1"/>
  <c r="I68" i="1"/>
  <c r="I77" i="1" s="1"/>
  <c r="E68" i="1"/>
  <c r="F77" i="1" s="1"/>
  <c r="G39" i="1"/>
  <c r="J53" i="1"/>
  <c r="J79" i="1"/>
  <c r="E33" i="1"/>
  <c r="E35" i="1"/>
  <c r="K30" i="1"/>
  <c r="J31" i="1"/>
  <c r="J32" i="1" s="1"/>
  <c r="J34" i="1"/>
  <c r="J37" i="1"/>
  <c r="I33" i="1"/>
  <c r="I35" i="1"/>
  <c r="D32" i="1"/>
  <c r="F38" i="1"/>
  <c r="F36" i="1"/>
  <c r="H38" i="1"/>
  <c r="H36" i="1"/>
  <c r="J101" i="4" l="1"/>
  <c r="K99" i="4"/>
  <c r="J104" i="4"/>
  <c r="K33" i="4"/>
  <c r="K35" i="4"/>
  <c r="E42" i="4"/>
  <c r="E39" i="4"/>
  <c r="F39" i="4"/>
  <c r="F42" i="4"/>
  <c r="G75" i="4"/>
  <c r="G77" i="4" s="1"/>
  <c r="G47" i="4"/>
  <c r="D36" i="4"/>
  <c r="D38" i="4"/>
  <c r="L61" i="4"/>
  <c r="L31" i="4"/>
  <c r="L32" i="4" s="1"/>
  <c r="L82" i="4"/>
  <c r="L54" i="4"/>
  <c r="L37" i="4"/>
  <c r="L55" i="4"/>
  <c r="L34" i="4"/>
  <c r="D67" i="4"/>
  <c r="D68" i="4" s="1"/>
  <c r="J38" i="4"/>
  <c r="J36" i="4"/>
  <c r="I39" i="4"/>
  <c r="K63" i="4"/>
  <c r="K70" i="4"/>
  <c r="K79" i="4" s="1"/>
  <c r="H39" i="4"/>
  <c r="I40" i="4"/>
  <c r="D57" i="1"/>
  <c r="J68" i="1"/>
  <c r="J77" i="1" s="1"/>
  <c r="K59" i="1"/>
  <c r="K61" i="1" s="1"/>
  <c r="K54" i="1"/>
  <c r="D68" i="1"/>
  <c r="E77" i="1" s="1"/>
  <c r="H39" i="1"/>
  <c r="F39" i="1"/>
  <c r="K53" i="1"/>
  <c r="K79" i="1"/>
  <c r="D33" i="1"/>
  <c r="D35" i="1"/>
  <c r="J33" i="1"/>
  <c r="J35" i="1"/>
  <c r="I38" i="1"/>
  <c r="I36" i="1"/>
  <c r="L30" i="1"/>
  <c r="K31" i="1"/>
  <c r="K32" i="1" s="1"/>
  <c r="K34" i="1"/>
  <c r="K37" i="1"/>
  <c r="E38" i="1"/>
  <c r="E36" i="1"/>
  <c r="K101" i="4" l="1"/>
  <c r="L99" i="4"/>
  <c r="K104" i="4"/>
  <c r="L35" i="4"/>
  <c r="L33" i="4"/>
  <c r="H43" i="4"/>
  <c r="H45" i="4"/>
  <c r="H46" i="4" s="1"/>
  <c r="G80" i="4"/>
  <c r="E45" i="4"/>
  <c r="E46" i="4"/>
  <c r="E43" i="4"/>
  <c r="L70" i="4"/>
  <c r="L79" i="4" s="1"/>
  <c r="L63" i="4"/>
  <c r="I43" i="4"/>
  <c r="I45" i="4"/>
  <c r="I46" i="4" s="1"/>
  <c r="K38" i="4"/>
  <c r="K36" i="4"/>
  <c r="D42" i="4"/>
  <c r="D39" i="4"/>
  <c r="J39" i="4"/>
  <c r="F45" i="4"/>
  <c r="F43" i="4"/>
  <c r="F46" i="4"/>
  <c r="I56" i="4"/>
  <c r="D65" i="1"/>
  <c r="D66" i="1" s="1"/>
  <c r="D92" i="1"/>
  <c r="E93" i="1" s="1"/>
  <c r="L59" i="1"/>
  <c r="L54" i="1"/>
  <c r="K68" i="1"/>
  <c r="K77" i="1" s="1"/>
  <c r="L53" i="1"/>
  <c r="L61" i="1"/>
  <c r="L79" i="1"/>
  <c r="E39" i="1"/>
  <c r="I39" i="1"/>
  <c r="K33" i="1"/>
  <c r="K35" i="1"/>
  <c r="L31" i="1"/>
  <c r="L32" i="1" s="1"/>
  <c r="L34" i="1"/>
  <c r="L37" i="1"/>
  <c r="J38" i="1"/>
  <c r="J36" i="1"/>
  <c r="D38" i="1"/>
  <c r="D41" i="1" s="1"/>
  <c r="D36" i="1"/>
  <c r="L101" i="4" l="1"/>
  <c r="L104" i="4"/>
  <c r="G83" i="4"/>
  <c r="G86" i="4" s="1"/>
  <c r="H47" i="4"/>
  <c r="H75" i="4"/>
  <c r="H77" i="4" s="1"/>
  <c r="I75" i="4"/>
  <c r="I77" i="4" s="1"/>
  <c r="I47" i="4"/>
  <c r="J40" i="4"/>
  <c r="F75" i="4"/>
  <c r="F77" i="4" s="1"/>
  <c r="F47" i="4"/>
  <c r="E47" i="4"/>
  <c r="E75" i="4"/>
  <c r="E77" i="4" s="1"/>
  <c r="D45" i="4"/>
  <c r="D43" i="4"/>
  <c r="D46" i="4"/>
  <c r="D47" i="4" s="1"/>
  <c r="K39" i="4"/>
  <c r="L38" i="4"/>
  <c r="L36" i="4"/>
  <c r="L68" i="1"/>
  <c r="L77" i="1" s="1"/>
  <c r="J39" i="1"/>
  <c r="D39" i="1"/>
  <c r="K36" i="1"/>
  <c r="K38" i="1"/>
  <c r="L33" i="1"/>
  <c r="L35" i="1"/>
  <c r="G89" i="4" l="1"/>
  <c r="G53" i="4" s="1"/>
  <c r="G59" i="4" s="1"/>
  <c r="L39" i="4"/>
  <c r="E80" i="4"/>
  <c r="E83" i="4" s="1"/>
  <c r="E86" i="4" s="1"/>
  <c r="E97" i="4"/>
  <c r="H80" i="4"/>
  <c r="H83" i="4" s="1"/>
  <c r="F97" i="4"/>
  <c r="F80" i="4"/>
  <c r="F83" i="4" s="1"/>
  <c r="F86" i="4" s="1"/>
  <c r="J56" i="4"/>
  <c r="I80" i="4"/>
  <c r="I83" i="4" s="1"/>
  <c r="D42" i="1"/>
  <c r="D45" i="1"/>
  <c r="K39" i="1"/>
  <c r="L36" i="1"/>
  <c r="L38" i="1"/>
  <c r="I86" i="4" l="1"/>
  <c r="H86" i="4"/>
  <c r="H88" i="4" s="1"/>
  <c r="G66" i="4"/>
  <c r="G95" i="4"/>
  <c r="G96" i="4"/>
  <c r="G97" i="4" s="1"/>
  <c r="G67" i="4"/>
  <c r="G68" i="4" s="1"/>
  <c r="F88" i="4"/>
  <c r="F89" i="4" s="1"/>
  <c r="J43" i="4"/>
  <c r="J45" i="4"/>
  <c r="J46" i="4" s="1"/>
  <c r="K40" i="4"/>
  <c r="K56" i="4" s="1"/>
  <c r="E88" i="4"/>
  <c r="E66" i="4" s="1"/>
  <c r="D46" i="1"/>
  <c r="L39" i="1"/>
  <c r="H66" i="4" l="1"/>
  <c r="L40" i="4"/>
  <c r="L56" i="4"/>
  <c r="J47" i="4"/>
  <c r="J75" i="4"/>
  <c r="J77" i="4" s="1"/>
  <c r="F66" i="4"/>
  <c r="F67" i="4" s="1"/>
  <c r="F68" i="4" s="1"/>
  <c r="E67" i="4"/>
  <c r="E68" i="4" s="1"/>
  <c r="E89" i="4"/>
  <c r="H67" i="4"/>
  <c r="H68" i="4" s="1"/>
  <c r="H89" i="4"/>
  <c r="H53" i="4" s="1"/>
  <c r="I88" i="4" l="1"/>
  <c r="I89" i="4" s="1"/>
  <c r="H59" i="4"/>
  <c r="I66" i="4"/>
  <c r="I67" i="4"/>
  <c r="I68" i="4" s="1"/>
  <c r="I53" i="4"/>
  <c r="H95" i="4"/>
  <c r="K43" i="4"/>
  <c r="K45" i="4"/>
  <c r="K46" i="4" s="1"/>
  <c r="J80" i="4"/>
  <c r="J83" i="4" s="1"/>
  <c r="J86" i="4" l="1"/>
  <c r="J88" i="4"/>
  <c r="K75" i="4"/>
  <c r="K77" i="4" s="1"/>
  <c r="K47" i="4"/>
  <c r="L43" i="4"/>
  <c r="L45" i="4"/>
  <c r="L46" i="4" s="1"/>
  <c r="H96" i="4"/>
  <c r="H97" i="4" s="1"/>
  <c r="I59" i="4"/>
  <c r="I95" i="4" s="1"/>
  <c r="J66" i="4"/>
  <c r="L75" i="4" l="1"/>
  <c r="L77" i="4" s="1"/>
  <c r="L47" i="4"/>
  <c r="J67" i="4"/>
  <c r="J68" i="4" s="1"/>
  <c r="J89" i="4"/>
  <c r="J53" i="4" s="1"/>
  <c r="I96" i="4"/>
  <c r="I97" i="4" s="1"/>
  <c r="K80" i="4"/>
  <c r="K83" i="4" s="1"/>
  <c r="K86" i="4" l="1"/>
  <c r="K88" i="4"/>
  <c r="K66" i="4" s="1"/>
  <c r="J59" i="4"/>
  <c r="J95" i="4" s="1"/>
  <c r="L80" i="4"/>
  <c r="L83" i="4" s="1"/>
  <c r="L86" i="4" l="1"/>
  <c r="K89" i="4"/>
  <c r="K53" i="4" s="1"/>
  <c r="J96" i="4"/>
  <c r="J97" i="4" s="1"/>
  <c r="K67" i="4"/>
  <c r="K68" i="4" s="1"/>
  <c r="K59" i="4" l="1"/>
  <c r="K95" i="4" s="1"/>
  <c r="L88" i="4"/>
  <c r="L89" i="4" s="1"/>
  <c r="L53" i="4" s="1"/>
  <c r="L59" i="4" s="1"/>
  <c r="L95" i="4" s="1"/>
  <c r="L96" i="4" s="1"/>
  <c r="L97" i="4" s="1"/>
  <c r="K96" i="4"/>
  <c r="K97" i="4" s="1"/>
  <c r="L66" i="4" l="1"/>
  <c r="L67" i="4" s="1"/>
  <c r="L68" i="4" s="1"/>
  <c r="F57" i="1" l="1"/>
  <c r="F92" i="1" s="1"/>
  <c r="G93" i="1" s="1"/>
  <c r="G101" i="1" s="1"/>
  <c r="F93" i="1" l="1"/>
  <c r="F101" i="1" s="1"/>
  <c r="F41" i="1"/>
  <c r="F42" i="1" s="1"/>
  <c r="F76" i="1"/>
  <c r="F79" i="1" s="1"/>
  <c r="E41" i="1"/>
  <c r="E42" i="1" l="1"/>
  <c r="E45" i="1"/>
  <c r="F45" i="1"/>
  <c r="E73" i="1" l="1"/>
  <c r="E75" i="1" s="1"/>
  <c r="E46" i="1"/>
  <c r="F73" i="1"/>
  <c r="F75" i="1" s="1"/>
  <c r="F102" i="1" s="1"/>
  <c r="F46" i="1"/>
  <c r="F78" i="1" l="1"/>
  <c r="F80" i="1" s="1"/>
  <c r="F94" i="1"/>
  <c r="F98" i="1" s="1"/>
  <c r="E78" i="1"/>
  <c r="E80" i="1" s="1"/>
  <c r="E94" i="1"/>
  <c r="E83" i="1" l="1"/>
  <c r="E85" i="1" s="1"/>
  <c r="E65" i="1" s="1"/>
  <c r="E66" i="1" s="1"/>
  <c r="F83" i="1"/>
  <c r="F85" i="1" s="1"/>
  <c r="F86" i="1" s="1"/>
  <c r="E86" i="1" l="1"/>
  <c r="F65" i="1"/>
  <c r="F66" i="1" s="1"/>
  <c r="H76" i="1"/>
  <c r="H41" i="1"/>
  <c r="H42" i="1" s="1"/>
  <c r="G41" i="1"/>
  <c r="G42" i="1" s="1"/>
  <c r="H44" i="1" l="1"/>
  <c r="H45" i="1" s="1"/>
  <c r="G44" i="1"/>
  <c r="G45" i="1" s="1"/>
  <c r="I40" i="1" l="1"/>
  <c r="H73" i="1"/>
  <c r="H75" i="1" s="1"/>
  <c r="H46" i="1"/>
  <c r="G46" i="1"/>
  <c r="G73" i="1"/>
  <c r="G75" i="1" s="1"/>
  <c r="G94" i="1" l="1"/>
  <c r="G98" i="1" s="1"/>
  <c r="G102" i="1"/>
  <c r="G78" i="1"/>
  <c r="G80" i="1" s="1"/>
  <c r="G110" i="4" s="1"/>
  <c r="H78" i="1"/>
  <c r="H80" i="1" s="1"/>
  <c r="I41" i="1"/>
  <c r="I76" i="1"/>
  <c r="I55" i="1"/>
  <c r="H83" i="1" l="1"/>
  <c r="G83" i="1"/>
  <c r="J40" i="1"/>
  <c r="I44" i="1"/>
  <c r="I45" i="1" s="1"/>
  <c r="I42" i="1"/>
  <c r="G85" i="1" l="1"/>
  <c r="G86" i="1" s="1"/>
  <c r="H85" i="1"/>
  <c r="H86" i="1" s="1"/>
  <c r="H52" i="1" s="1"/>
  <c r="I73" i="1"/>
  <c r="I75" i="1" s="1"/>
  <c r="I46" i="1"/>
  <c r="J76" i="1"/>
  <c r="J41" i="1"/>
  <c r="J55" i="1"/>
  <c r="H57" i="1" l="1"/>
  <c r="H92" i="1" s="1"/>
  <c r="H64" i="1"/>
  <c r="H65" i="1" s="1"/>
  <c r="H66" i="1" s="1"/>
  <c r="I78" i="1"/>
  <c r="I80" i="1" s="1"/>
  <c r="K40" i="1"/>
  <c r="K55" i="1"/>
  <c r="J42" i="1"/>
  <c r="J44" i="1"/>
  <c r="J45" i="1" s="1"/>
  <c r="I83" i="1" l="1"/>
  <c r="I85" i="1" s="1"/>
  <c r="I64" i="1" s="1"/>
  <c r="I65" i="1" s="1"/>
  <c r="I66" i="1" s="1"/>
  <c r="H93" i="1"/>
  <c r="I86" i="1"/>
  <c r="I52" i="1" s="1"/>
  <c r="J46" i="1"/>
  <c r="J73" i="1"/>
  <c r="J75" i="1" s="1"/>
  <c r="L40" i="1"/>
  <c r="L55" i="1"/>
  <c r="K41" i="1"/>
  <c r="K76" i="1"/>
  <c r="I57" i="1" l="1"/>
  <c r="I92" i="1" s="1"/>
  <c r="H102" i="1"/>
  <c r="H94" i="1"/>
  <c r="J78" i="1"/>
  <c r="J80" i="1" s="1"/>
  <c r="K44" i="1"/>
  <c r="K45" i="1" s="1"/>
  <c r="K42" i="1"/>
  <c r="L41" i="1"/>
  <c r="L76" i="1"/>
  <c r="J83" i="1" l="1"/>
  <c r="I93" i="1"/>
  <c r="L42" i="1"/>
  <c r="L44" i="1"/>
  <c r="L45" i="1" s="1"/>
  <c r="K73" i="1"/>
  <c r="K75" i="1" s="1"/>
  <c r="K46" i="1"/>
  <c r="I102" i="1" l="1"/>
  <c r="I94" i="1"/>
  <c r="J85" i="1"/>
  <c r="J86" i="1" s="1"/>
  <c r="J52" i="1" s="1"/>
  <c r="K78" i="1"/>
  <c r="K80" i="1" s="1"/>
  <c r="L73" i="1"/>
  <c r="L75" i="1" s="1"/>
  <c r="L46" i="1"/>
  <c r="K83" i="1" l="1"/>
  <c r="J64" i="1"/>
  <c r="J65" i="1" s="1"/>
  <c r="J66" i="1" s="1"/>
  <c r="J57" i="1"/>
  <c r="J92" i="1" s="1"/>
  <c r="L78" i="1"/>
  <c r="L80" i="1" s="1"/>
  <c r="L83" i="1" l="1"/>
  <c r="J93" i="1"/>
  <c r="K85" i="1"/>
  <c r="K86" i="1" s="1"/>
  <c r="K52" i="1" s="1"/>
  <c r="K64" i="1" l="1"/>
  <c r="K65" i="1" s="1"/>
  <c r="K66" i="1" s="1"/>
  <c r="J102" i="1"/>
  <c r="J94" i="1"/>
  <c r="K57" i="1"/>
  <c r="K92" i="1" s="1"/>
  <c r="L85" i="1"/>
  <c r="L86" i="1" s="1"/>
  <c r="L52" i="1" s="1"/>
  <c r="L57" i="1" s="1"/>
  <c r="L92" i="1" s="1"/>
  <c r="L64" i="1" l="1"/>
  <c r="L65" i="1" s="1"/>
  <c r="L66" i="1" s="1"/>
  <c r="L93" i="1"/>
  <c r="K93" i="1"/>
  <c r="K102" i="1" l="1"/>
  <c r="K94" i="1"/>
  <c r="L102" i="1"/>
  <c r="L94" i="1"/>
</calcChain>
</file>

<file path=xl/sharedStrings.xml><?xml version="1.0" encoding="utf-8"?>
<sst xmlns="http://schemas.openxmlformats.org/spreadsheetml/2006/main" count="212" uniqueCount="91">
  <si>
    <t>Jahr 0</t>
  </si>
  <si>
    <t>Jahr -1</t>
  </si>
  <si>
    <t>Jahr -2</t>
  </si>
  <si>
    <t>Jahr -3</t>
  </si>
  <si>
    <t>Erfolgsrechnung</t>
  </si>
  <si>
    <t>Umsatzwachstum</t>
  </si>
  <si>
    <t>Betriebsaufwand (% Umsatz)</t>
  </si>
  <si>
    <t>Bilanz</t>
  </si>
  <si>
    <t>Betriebliche flüssige Mittel (% Umsatz)</t>
  </si>
  <si>
    <t>Übriges Umlaufvermögen (% Umsatz)</t>
  </si>
  <si>
    <t>Operative Verbindlichkeiten (% Umsatz)</t>
  </si>
  <si>
    <t>Capex (% Umsatz)</t>
  </si>
  <si>
    <t>Abschreibungen (% AV + Capex)</t>
  </si>
  <si>
    <t>Umsatz</t>
  </si>
  <si>
    <t>- COGS extern</t>
  </si>
  <si>
    <t>Bruttogewinn</t>
  </si>
  <si>
    <t>- Personalaufwand</t>
  </si>
  <si>
    <t>Deckungsbeitrag 2</t>
  </si>
  <si>
    <t>- Betriebsaufwand</t>
  </si>
  <si>
    <t>EBITDA</t>
  </si>
  <si>
    <t>Betriebliche flüssige Mittel</t>
  </si>
  <si>
    <t>Übriges Umlaufvermögen</t>
  </si>
  <si>
    <t>Anlagevermögen</t>
  </si>
  <si>
    <t>Immobilien</t>
  </si>
  <si>
    <t>Total Aktiven</t>
  </si>
  <si>
    <t>Operative Verbindlichkeiten</t>
  </si>
  <si>
    <t>Finanzverbindlichkeiten</t>
  </si>
  <si>
    <t>Fremdkapital</t>
  </si>
  <si>
    <t>Aktienkapital</t>
  </si>
  <si>
    <t>Eigene Aktien</t>
  </si>
  <si>
    <t>Gewinnvortrag und Reserven</t>
  </si>
  <si>
    <t>Eigenkapital</t>
  </si>
  <si>
    <t>Total Passiven</t>
  </si>
  <si>
    <t>NUV</t>
  </si>
  <si>
    <t>Reingewinn</t>
  </si>
  <si>
    <t>+ Zinsaufwand nach Steuern</t>
  </si>
  <si>
    <t>NOPLAT</t>
  </si>
  <si>
    <t>+ Abschreibungen</t>
  </si>
  <si>
    <t>- Veränderung NWC</t>
  </si>
  <si>
    <t>Operativer Cashflow</t>
  </si>
  <si>
    <t>- Investitionen</t>
  </si>
  <si>
    <t>Free Cashflow</t>
  </si>
  <si>
    <t>- Zinsaufwand nach Steuern</t>
  </si>
  <si>
    <t>+ Veränderung Fremdkapital</t>
  </si>
  <si>
    <t>Residual Cashflow</t>
  </si>
  <si>
    <t>- Aktienrückkäufe</t>
  </si>
  <si>
    <t>- Dividenden / Einlagen</t>
  </si>
  <si>
    <t>Überschüssige flüssige Mittel</t>
  </si>
  <si>
    <t>Veränderung flüssige Mittel</t>
  </si>
  <si>
    <t>-Abschreibungen</t>
  </si>
  <si>
    <t>EBIT</t>
  </si>
  <si>
    <t>Zinsaufwand (% FK)</t>
  </si>
  <si>
    <t>- Zinsaufwand</t>
  </si>
  <si>
    <t>- Steuern</t>
  </si>
  <si>
    <t>Investiertes Kapital</t>
  </si>
  <si>
    <t>Durchschnitt</t>
  </si>
  <si>
    <t>ROIC</t>
  </si>
  <si>
    <t>Steuersatz (% Gewinn v. Steuern)</t>
  </si>
  <si>
    <t>Bruttogewinn-Marge</t>
  </si>
  <si>
    <t>Personalaufwand (% Umsatz)</t>
  </si>
  <si>
    <t>Ausschüttung aller nicht benötigter Mittel</t>
  </si>
  <si>
    <t xml:space="preserve"> E Jahr 1</t>
  </si>
  <si>
    <t xml:space="preserve"> E Jahr 2</t>
  </si>
  <si>
    <t xml:space="preserve"> E Jahr 3</t>
  </si>
  <si>
    <t xml:space="preserve"> E Jahr 4</t>
  </si>
  <si>
    <t xml:space="preserve"> E Jahr 5</t>
  </si>
  <si>
    <t>BLT AG: IST- und PLAN-Erfolgsrechnung</t>
  </si>
  <si>
    <t>BLT AG: IST- und PLAN-Bilanz</t>
  </si>
  <si>
    <t>BLT AG: IST- und PLAN-Mittelflussrechnung</t>
  </si>
  <si>
    <t>BLT AG: Planannahmen</t>
  </si>
  <si>
    <t>ROIC BLT</t>
  </si>
  <si>
    <t>- Akquisition PLS AG</t>
  </si>
  <si>
    <t>Goodwill</t>
  </si>
  <si>
    <t>Jahr 0 (P)</t>
  </si>
  <si>
    <t xml:space="preserve"> E Jahr 1 (P)</t>
  </si>
  <si>
    <t xml:space="preserve"> E Jahr 2 (P)</t>
  </si>
  <si>
    <t xml:space="preserve"> E Jahr 3 (P)</t>
  </si>
  <si>
    <t xml:space="preserve"> E Jahr 4 (P)</t>
  </si>
  <si>
    <t xml:space="preserve"> E Jahr 5 (P)</t>
  </si>
  <si>
    <t>Bilanz PLS AG</t>
  </si>
  <si>
    <t>BLT &amp; PLS AG: Planannahmen</t>
  </si>
  <si>
    <t>-Abschreibungen Anlagen</t>
  </si>
  <si>
    <t>- Abschreibungen Goodwill</t>
  </si>
  <si>
    <t>Inkrementeller FCF</t>
  </si>
  <si>
    <t>Historisch BLT</t>
  </si>
  <si>
    <t>Planannahmen BLT &amp; PLS</t>
  </si>
  <si>
    <t>Kapitalkosten</t>
  </si>
  <si>
    <t>"Return Spread"</t>
  </si>
  <si>
    <t>Kapitalkosten (Währung)</t>
  </si>
  <si>
    <t>EVA (Währung)</t>
  </si>
  <si>
    <t>Inkrementeller (zusätzlicher) Free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</si>
</sst>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8" formatCode="0.000"/>
    <numFmt numFmtId="169" formatCode="0.0"/>
  </numFmts>
  <fonts count="1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name val="Arial"/>
      <family val="2"/>
    </font>
    <font>
      <i/>
      <sz val="12"/>
      <color theme="1"/>
      <name val="Aptos Narrow"/>
      <scheme val="minor"/>
    </font>
    <font>
      <b/>
      <sz val="12"/>
      <color theme="1"/>
      <name val="Aptos Narrow"/>
      <scheme val="minor"/>
    </font>
    <font>
      <b/>
      <sz val="10"/>
      <name val="Arial"/>
      <family val="2"/>
    </font>
    <font>
      <b/>
      <i/>
      <u/>
      <sz val="10"/>
      <name val="Arial"/>
      <family val="2"/>
    </font>
    <font>
      <b/>
      <i/>
      <sz val="12"/>
      <color theme="1"/>
      <name val="Aptos Narrow"/>
      <scheme val="minor"/>
    </font>
    <font>
      <sz val="12"/>
      <color theme="9"/>
      <name val="Aptos Narrow"/>
      <family val="2"/>
      <scheme val="minor"/>
    </font>
    <font>
      <sz val="12"/>
      <color rgb="FFC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/>
    <xf numFmtId="0" fontId="5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0" fontId="7" fillId="0" borderId="2" xfId="0" applyFont="1" applyBorder="1"/>
    <xf numFmtId="0" fontId="4" fillId="0" borderId="0" xfId="0" quotePrefix="1" applyFont="1"/>
    <xf numFmtId="168" fontId="0" fillId="0" borderId="0" xfId="0" applyNumberFormat="1"/>
    <xf numFmtId="2" fontId="0" fillId="0" borderId="0" xfId="0" applyNumberFormat="1"/>
    <xf numFmtId="169" fontId="0" fillId="0" borderId="0" xfId="0" applyNumberFormat="1"/>
    <xf numFmtId="4" fontId="0" fillId="0" borderId="0" xfId="0" applyNumberFormat="1"/>
    <xf numFmtId="4" fontId="6" fillId="0" borderId="0" xfId="0" applyNumberFormat="1" applyFont="1"/>
    <xf numFmtId="3" fontId="6" fillId="0" borderId="0" xfId="0" applyNumberFormat="1" applyFont="1"/>
    <xf numFmtId="4" fontId="6" fillId="0" borderId="2" xfId="0" applyNumberFormat="1" applyFont="1" applyBorder="1"/>
    <xf numFmtId="4" fontId="6" fillId="0" borderId="3" xfId="0" applyNumberFormat="1" applyFont="1" applyBorder="1"/>
    <xf numFmtId="0" fontId="0" fillId="0" borderId="4" xfId="0" applyBorder="1"/>
    <xf numFmtId="0" fontId="2" fillId="0" borderId="0" xfId="0" applyFont="1"/>
    <xf numFmtId="0" fontId="2" fillId="0" borderId="2" xfId="0" applyFont="1" applyBorder="1"/>
    <xf numFmtId="4" fontId="2" fillId="0" borderId="2" xfId="0" applyNumberFormat="1" applyFont="1" applyBorder="1"/>
    <xf numFmtId="0" fontId="5" fillId="0" borderId="4" xfId="0" applyFont="1" applyBorder="1"/>
    <xf numFmtId="0" fontId="0" fillId="0" borderId="0" xfId="0" applyFill="1" applyAlignment="1">
      <alignment horizontal="right"/>
    </xf>
    <xf numFmtId="0" fontId="0" fillId="0" borderId="0" xfId="0" applyFill="1"/>
    <xf numFmtId="0" fontId="2" fillId="0" borderId="2" xfId="0" applyFont="1" applyFill="1" applyBorder="1" applyAlignment="1">
      <alignment horizontal="right"/>
    </xf>
    <xf numFmtId="164" fontId="0" fillId="0" borderId="0" xfId="1" applyNumberFormat="1" applyFont="1" applyFill="1"/>
    <xf numFmtId="9" fontId="0" fillId="0" borderId="0" xfId="0" applyNumberFormat="1" applyFill="1"/>
    <xf numFmtId="4" fontId="0" fillId="0" borderId="0" xfId="0" applyNumberFormat="1" applyFill="1"/>
    <xf numFmtId="2" fontId="0" fillId="0" borderId="0" xfId="0" applyNumberFormat="1" applyFill="1"/>
    <xf numFmtId="0" fontId="8" fillId="0" borderId="2" xfId="0" applyFont="1" applyFill="1" applyBorder="1"/>
    <xf numFmtId="3" fontId="2" fillId="0" borderId="2" xfId="0" applyNumberFormat="1" applyFont="1" applyFill="1" applyBorder="1"/>
    <xf numFmtId="0" fontId="4" fillId="0" borderId="0" xfId="0" applyFont="1" applyFill="1"/>
    <xf numFmtId="164" fontId="0" fillId="0" borderId="0" xfId="1" applyNumberFormat="1" applyFont="1" applyFill="1" applyProtection="1"/>
    <xf numFmtId="164" fontId="0" fillId="0" borderId="0" xfId="0" applyNumberFormat="1" applyFill="1" applyProtection="1">
      <protection locked="0"/>
    </xf>
    <xf numFmtId="0" fontId="0" fillId="0" borderId="0" xfId="0" applyFill="1" applyBorder="1"/>
    <xf numFmtId="0" fontId="4" fillId="0" borderId="0" xfId="0" applyFont="1" applyFill="1" applyBorder="1"/>
    <xf numFmtId="164" fontId="0" fillId="0" borderId="0" xfId="1" applyNumberFormat="1" applyFont="1" applyFill="1" applyBorder="1"/>
    <xf numFmtId="164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164" fontId="0" fillId="0" borderId="0" xfId="1" applyNumberFormat="1" applyFont="1" applyFill="1" applyBorder="1" applyProtection="1">
      <protection locked="0"/>
    </xf>
    <xf numFmtId="0" fontId="4" fillId="0" borderId="4" xfId="0" applyFont="1" applyBorder="1"/>
    <xf numFmtId="0" fontId="8" fillId="0" borderId="0" xfId="0" applyFont="1" applyFill="1" applyBorder="1"/>
    <xf numFmtId="164" fontId="0" fillId="0" borderId="0" xfId="0" applyNumberFormat="1" applyFill="1" applyBorder="1"/>
    <xf numFmtId="164" fontId="0" fillId="0" borderId="0" xfId="0" applyNumberFormat="1" applyFill="1"/>
    <xf numFmtId="0" fontId="6" fillId="2" borderId="5" xfId="0" applyFont="1" applyFill="1" applyBorder="1" applyAlignment="1">
      <alignment horizontal="right"/>
    </xf>
    <xf numFmtId="0" fontId="6" fillId="2" borderId="7" xfId="0" applyFont="1" applyFill="1" applyBorder="1"/>
    <xf numFmtId="164" fontId="6" fillId="2" borderId="1" xfId="1" applyNumberFormat="1" applyFont="1" applyFill="1" applyBorder="1"/>
    <xf numFmtId="164" fontId="6" fillId="2" borderId="1" xfId="0" applyNumberFormat="1" applyFont="1" applyFill="1" applyBorder="1"/>
    <xf numFmtId="164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Alignment="1" applyProtection="1">
      <alignment wrapText="1"/>
      <protection locked="0"/>
    </xf>
    <xf numFmtId="164" fontId="6" fillId="2" borderId="1" xfId="1" applyNumberFormat="1" applyFont="1" applyFill="1" applyBorder="1" applyProtection="1">
      <protection locked="0"/>
    </xf>
    <xf numFmtId="0" fontId="6" fillId="2" borderId="6" xfId="0" applyFont="1" applyFill="1" applyBorder="1"/>
    <xf numFmtId="4" fontId="6" fillId="2" borderId="1" xfId="0" applyNumberFormat="1" applyFont="1" applyFill="1" applyBorder="1"/>
    <xf numFmtId="4" fontId="0" fillId="2" borderId="1" xfId="0" applyNumberFormat="1" applyFill="1" applyBorder="1"/>
    <xf numFmtId="4" fontId="6" fillId="2" borderId="7" xfId="0" applyNumberFormat="1" applyFont="1" applyFill="1" applyBorder="1"/>
    <xf numFmtId="2" fontId="0" fillId="2" borderId="1" xfId="0" applyNumberFormat="1" applyFill="1" applyBorder="1"/>
    <xf numFmtId="168" fontId="0" fillId="2" borderId="1" xfId="0" applyNumberFormat="1" applyFill="1" applyBorder="1"/>
    <xf numFmtId="164" fontId="5" fillId="0" borderId="4" xfId="1" applyNumberFormat="1" applyFont="1" applyBorder="1"/>
    <xf numFmtId="164" fontId="5" fillId="2" borderId="6" xfId="1" applyNumberFormat="1" applyFont="1" applyFill="1" applyBorder="1"/>
    <xf numFmtId="164" fontId="0" fillId="0" borderId="4" xfId="1" applyNumberFormat="1" applyFont="1" applyBorder="1"/>
    <xf numFmtId="164" fontId="0" fillId="2" borderId="6" xfId="1" applyNumberFormat="1" applyFont="1" applyFill="1" applyBorder="1"/>
    <xf numFmtId="4" fontId="6" fillId="2" borderId="5" xfId="0" applyNumberFormat="1" applyFont="1" applyFill="1" applyBorder="1"/>
    <xf numFmtId="4" fontId="2" fillId="2" borderId="5" xfId="0" applyNumberFormat="1" applyFont="1" applyFill="1" applyBorder="1"/>
    <xf numFmtId="0" fontId="6" fillId="3" borderId="2" xfId="0" applyFont="1" applyFill="1" applyBorder="1" applyAlignment="1">
      <alignment horizontal="center"/>
    </xf>
    <xf numFmtId="0" fontId="9" fillId="4" borderId="0" xfId="0" applyFont="1" applyFill="1"/>
    <xf numFmtId="0" fontId="5" fillId="4" borderId="0" xfId="0" applyFont="1" applyFill="1"/>
    <xf numFmtId="4" fontId="5" fillId="4" borderId="0" xfId="0" applyNumberFormat="1" applyFont="1" applyFill="1"/>
    <xf numFmtId="0" fontId="6" fillId="3" borderId="0" xfId="0" applyFont="1" applyFill="1" applyAlignment="1">
      <alignment horizontal="center"/>
    </xf>
    <xf numFmtId="164" fontId="6" fillId="0" borderId="2" xfId="1" applyNumberFormat="1" applyFont="1" applyBorder="1"/>
    <xf numFmtId="164" fontId="6" fillId="0" borderId="2" xfId="1" applyNumberFormat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" fontId="2" fillId="2" borderId="1" xfId="0" applyNumberFormat="1" applyFont="1" applyFill="1" applyBorder="1"/>
    <xf numFmtId="0" fontId="7" fillId="0" borderId="0" xfId="0" quotePrefix="1" applyFont="1" applyBorder="1"/>
    <xf numFmtId="0" fontId="2" fillId="0" borderId="0" xfId="0" applyFont="1" applyFill="1" applyBorder="1" applyAlignment="1">
      <alignment horizontal="right"/>
    </xf>
    <xf numFmtId="169" fontId="6" fillId="0" borderId="0" xfId="0" applyNumberFormat="1" applyFont="1"/>
    <xf numFmtId="164" fontId="1" fillId="0" borderId="0" xfId="1" applyNumberFormat="1" applyFont="1" applyFill="1" applyProtection="1"/>
    <xf numFmtId="164" fontId="10" fillId="0" borderId="0" xfId="1" applyNumberFormat="1" applyFont="1" applyFill="1" applyProtection="1"/>
    <xf numFmtId="164" fontId="10" fillId="0" borderId="0" xfId="0" applyNumberFormat="1" applyFont="1" applyFill="1" applyBorder="1" applyProtection="1">
      <protection locked="0"/>
    </xf>
    <xf numFmtId="164" fontId="10" fillId="0" borderId="0" xfId="0" applyNumberFormat="1" applyFont="1" applyFill="1" applyProtection="1">
      <protection locked="0"/>
    </xf>
    <xf numFmtId="164" fontId="11" fillId="0" borderId="0" xfId="0" applyNumberFormat="1" applyFont="1" applyFill="1" applyBorder="1" applyProtection="1">
      <protection locked="0"/>
    </xf>
    <xf numFmtId="164" fontId="11" fillId="0" borderId="0" xfId="1" applyNumberFormat="1" applyFont="1" applyFill="1" applyBorder="1"/>
    <xf numFmtId="164" fontId="10" fillId="0" borderId="0" xfId="1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9" fontId="0" fillId="0" borderId="0" xfId="0" applyNumberFormat="1"/>
    <xf numFmtId="9" fontId="6" fillId="0" borderId="2" xfId="0" applyNumberFormat="1" applyFont="1" applyBorder="1"/>
    <xf numFmtId="0" fontId="0" fillId="0" borderId="3" xfId="0" applyBorder="1"/>
    <xf numFmtId="2" fontId="0" fillId="0" borderId="3" xfId="0" applyNumberFormat="1" applyBorder="1"/>
    <xf numFmtId="2" fontId="6" fillId="0" borderId="4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81FBE-7057-5C44-A966-53AB0B0E7E1A}">
  <dimension ref="B2:N102"/>
  <sheetViews>
    <sheetView topLeftCell="A77" zoomScale="140" zoomScaleNormal="140" workbookViewId="0">
      <selection activeCell="F3" sqref="F3"/>
    </sheetView>
  </sheetViews>
  <sheetFormatPr baseColWidth="10" defaultRowHeight="16" x14ac:dyDescent="0.2"/>
  <cols>
    <col min="2" max="2" width="32.1640625" bestFit="1" customWidth="1"/>
    <col min="3" max="3" width="2.1640625" hidden="1" customWidth="1"/>
    <col min="4" max="6" width="10.33203125" customWidth="1"/>
    <col min="7" max="7" width="10.33203125" style="24" customWidth="1"/>
    <col min="8" max="12" width="10.33203125" customWidth="1"/>
  </cols>
  <sheetData>
    <row r="2" spans="2:12" x14ac:dyDescent="0.2">
      <c r="G2" s="29"/>
      <c r="H2" s="29"/>
      <c r="I2" s="29"/>
      <c r="J2" s="29"/>
      <c r="K2" s="29"/>
      <c r="L2" s="29"/>
    </row>
    <row r="3" spans="2:12" x14ac:dyDescent="0.2">
      <c r="D3" s="1"/>
      <c r="E3" s="1"/>
      <c r="F3" s="1"/>
      <c r="G3" s="23"/>
      <c r="H3" s="1"/>
      <c r="I3" s="1"/>
      <c r="J3" s="1"/>
      <c r="K3" s="1"/>
      <c r="L3" s="1"/>
    </row>
    <row r="5" spans="2:12" x14ac:dyDescent="0.2">
      <c r="B5" s="64" t="s">
        <v>69</v>
      </c>
      <c r="C5" s="64"/>
      <c r="D5" s="64"/>
      <c r="E5" s="64"/>
      <c r="F5" s="64"/>
      <c r="G5" s="64"/>
      <c r="H5" s="64"/>
      <c r="I5" s="64"/>
      <c r="J5" s="64"/>
      <c r="K5" s="64"/>
      <c r="L5" s="64"/>
    </row>
    <row r="7" spans="2:12" x14ac:dyDescent="0.2">
      <c r="B7" s="30"/>
      <c r="C7" s="31"/>
      <c r="D7" s="25" t="s">
        <v>3</v>
      </c>
      <c r="E7" s="25" t="s">
        <v>2</v>
      </c>
      <c r="F7" s="25" t="s">
        <v>1</v>
      </c>
      <c r="G7" s="45" t="s">
        <v>0</v>
      </c>
      <c r="H7" s="25" t="s">
        <v>61</v>
      </c>
      <c r="I7" s="25" t="s">
        <v>62</v>
      </c>
      <c r="J7" s="25" t="s">
        <v>63</v>
      </c>
      <c r="K7" s="25" t="s">
        <v>64</v>
      </c>
      <c r="L7" s="25" t="s">
        <v>65</v>
      </c>
    </row>
    <row r="8" spans="2:12" x14ac:dyDescent="0.2">
      <c r="B8" s="42" t="s">
        <v>4</v>
      </c>
      <c r="G8" s="46"/>
    </row>
    <row r="9" spans="2:12" x14ac:dyDescent="0.2">
      <c r="B9" s="32" t="s">
        <v>5</v>
      </c>
      <c r="C9" s="24"/>
      <c r="D9" s="26">
        <v>0.01</v>
      </c>
      <c r="E9" s="26">
        <v>0.1</v>
      </c>
      <c r="F9" s="26">
        <v>-0.06</v>
      </c>
      <c r="G9" s="47">
        <v>0.09</v>
      </c>
      <c r="H9" s="33">
        <v>0.04</v>
      </c>
      <c r="I9" s="33">
        <f>H9</f>
        <v>0.04</v>
      </c>
      <c r="J9" s="33">
        <f t="shared" ref="J9:L9" si="0">I9</f>
        <v>0.04</v>
      </c>
      <c r="K9" s="33">
        <f t="shared" si="0"/>
        <v>0.04</v>
      </c>
      <c r="L9" s="33">
        <f t="shared" si="0"/>
        <v>0.04</v>
      </c>
    </row>
    <row r="10" spans="2:12" x14ac:dyDescent="0.2">
      <c r="B10" s="32" t="s">
        <v>58</v>
      </c>
      <c r="C10" s="24"/>
      <c r="D10" s="26">
        <v>0.51</v>
      </c>
      <c r="E10" s="26">
        <v>0.53</v>
      </c>
      <c r="F10" s="26">
        <v>0.55000000000000004</v>
      </c>
      <c r="G10" s="47">
        <v>0.56000000000000005</v>
      </c>
      <c r="H10" s="33">
        <v>0.56999999999999995</v>
      </c>
      <c r="I10" s="33">
        <v>0.57499999999999996</v>
      </c>
      <c r="J10" s="33">
        <v>0.57999999999999996</v>
      </c>
      <c r="K10" s="33">
        <v>0.57999999999999996</v>
      </c>
      <c r="L10" s="33">
        <v>0.57999999999999996</v>
      </c>
    </row>
    <row r="11" spans="2:12" x14ac:dyDescent="0.2">
      <c r="B11" s="35"/>
      <c r="C11" s="35"/>
      <c r="D11" s="43"/>
      <c r="E11" s="43"/>
      <c r="F11" s="43"/>
      <c r="G11" s="48"/>
      <c r="H11" s="43"/>
      <c r="I11" s="43"/>
      <c r="J11" s="44"/>
      <c r="K11" s="44"/>
      <c r="L11" s="44"/>
    </row>
    <row r="12" spans="2:12" x14ac:dyDescent="0.2">
      <c r="B12" s="36" t="s">
        <v>59</v>
      </c>
      <c r="C12" s="35"/>
      <c r="D12" s="37">
        <v>0.39</v>
      </c>
      <c r="E12" s="37">
        <v>0.38</v>
      </c>
      <c r="F12" s="37">
        <v>0.37</v>
      </c>
      <c r="G12" s="47">
        <v>0.37</v>
      </c>
      <c r="H12" s="38">
        <v>0.36499999999999999</v>
      </c>
      <c r="I12" s="38">
        <v>0.36</v>
      </c>
      <c r="J12" s="34">
        <v>0.35499999999999998</v>
      </c>
      <c r="K12" s="34">
        <v>0.35</v>
      </c>
      <c r="L12" s="34">
        <v>0.35</v>
      </c>
    </row>
    <row r="13" spans="2:12" x14ac:dyDescent="0.2">
      <c r="B13" s="36" t="s">
        <v>6</v>
      </c>
      <c r="C13" s="35"/>
      <c r="D13" s="37">
        <v>0.1</v>
      </c>
      <c r="E13" s="37">
        <v>0.11</v>
      </c>
      <c r="F13" s="37">
        <v>0.105</v>
      </c>
      <c r="G13" s="47">
        <v>0.1</v>
      </c>
      <c r="H13" s="37">
        <v>9.5000000000000001E-2</v>
      </c>
      <c r="I13" s="37">
        <v>0.09</v>
      </c>
      <c r="J13" s="26">
        <v>0.09</v>
      </c>
      <c r="K13" s="26">
        <v>0.09</v>
      </c>
      <c r="L13" s="26">
        <v>0.09</v>
      </c>
    </row>
    <row r="14" spans="2:12" x14ac:dyDescent="0.2">
      <c r="B14" s="36" t="s">
        <v>51</v>
      </c>
      <c r="C14" s="35"/>
      <c r="D14" s="37">
        <v>0.03</v>
      </c>
      <c r="E14" s="37">
        <v>0.03</v>
      </c>
      <c r="F14" s="37">
        <v>0.03</v>
      </c>
      <c r="G14" s="47">
        <v>0.03</v>
      </c>
      <c r="H14" s="37">
        <v>0.03</v>
      </c>
      <c r="I14" s="37">
        <v>0.03</v>
      </c>
      <c r="J14" s="26">
        <v>0.03</v>
      </c>
      <c r="K14" s="26">
        <v>0.03</v>
      </c>
      <c r="L14" s="26">
        <v>0.03</v>
      </c>
    </row>
    <row r="15" spans="2:12" x14ac:dyDescent="0.2">
      <c r="B15" s="36" t="s">
        <v>57</v>
      </c>
      <c r="C15" s="35"/>
      <c r="D15" s="38">
        <v>0.218</v>
      </c>
      <c r="E15" s="38">
        <v>0.218</v>
      </c>
      <c r="F15" s="38">
        <v>0.218</v>
      </c>
      <c r="G15" s="49">
        <v>0.218</v>
      </c>
      <c r="H15" s="38">
        <v>0.218</v>
      </c>
      <c r="I15" s="38">
        <v>0.218</v>
      </c>
      <c r="J15" s="34">
        <v>0.218</v>
      </c>
      <c r="K15" s="34">
        <v>0.218</v>
      </c>
      <c r="L15" s="34">
        <v>0.218</v>
      </c>
    </row>
    <row r="16" spans="2:12" x14ac:dyDescent="0.2">
      <c r="B16" s="35"/>
      <c r="C16" s="39"/>
      <c r="D16" s="43"/>
      <c r="E16" s="43"/>
      <c r="F16" s="43"/>
      <c r="G16" s="48"/>
      <c r="H16" s="43"/>
      <c r="I16" s="43"/>
      <c r="J16" s="44"/>
      <c r="K16" s="44"/>
      <c r="L16" s="44"/>
    </row>
    <row r="17" spans="2:12" x14ac:dyDescent="0.2">
      <c r="B17" s="42" t="s">
        <v>7</v>
      </c>
      <c r="C17" s="39"/>
      <c r="D17" s="43"/>
      <c r="E17" s="43"/>
      <c r="F17" s="43"/>
      <c r="G17" s="48"/>
      <c r="H17" s="43"/>
      <c r="I17" s="43"/>
      <c r="J17" s="44"/>
      <c r="K17" s="44"/>
      <c r="L17" s="44"/>
    </row>
    <row r="18" spans="2:12" x14ac:dyDescent="0.2">
      <c r="B18" s="36" t="s">
        <v>8</v>
      </c>
      <c r="C18" s="35"/>
      <c r="D18" s="37">
        <v>0.11165488845584491</v>
      </c>
      <c r="E18" s="37">
        <v>0.11049478418677731</v>
      </c>
      <c r="F18" s="37">
        <v>9.2460480596515141E-2</v>
      </c>
      <c r="G18" s="50">
        <v>0.09</v>
      </c>
      <c r="H18" s="38">
        <v>0.08</v>
      </c>
      <c r="I18" s="38">
        <v>0.08</v>
      </c>
      <c r="J18" s="34">
        <v>0.08</v>
      </c>
      <c r="K18" s="34">
        <v>0.08</v>
      </c>
      <c r="L18" s="34">
        <v>0.08</v>
      </c>
    </row>
    <row r="19" spans="2:12" x14ac:dyDescent="0.2">
      <c r="B19" s="36" t="s">
        <v>9</v>
      </c>
      <c r="C19" s="39"/>
      <c r="D19" s="37">
        <v>0.41199954129596839</v>
      </c>
      <c r="E19" s="37">
        <v>0.36965059863406818</v>
      </c>
      <c r="F19" s="37">
        <v>0.38181170509735674</v>
      </c>
      <c r="G19" s="51">
        <v>0.36</v>
      </c>
      <c r="H19" s="40">
        <v>0.36</v>
      </c>
      <c r="I19" s="40">
        <v>0.35</v>
      </c>
      <c r="J19" s="40">
        <v>0.35</v>
      </c>
      <c r="K19" s="40">
        <v>0.35</v>
      </c>
      <c r="L19" s="40">
        <v>0.35</v>
      </c>
    </row>
    <row r="20" spans="2:12" x14ac:dyDescent="0.2">
      <c r="B20" s="36" t="s">
        <v>10</v>
      </c>
      <c r="C20" s="39"/>
      <c r="D20" s="37">
        <v>0.3</v>
      </c>
      <c r="E20" s="37">
        <v>0.28293916919694173</v>
      </c>
      <c r="F20" s="37">
        <v>0.24909645959974558</v>
      </c>
      <c r="G20" s="47">
        <v>0.26</v>
      </c>
      <c r="H20" s="37">
        <v>0.28000000000000003</v>
      </c>
      <c r="I20" s="37">
        <v>0.28000000000000003</v>
      </c>
      <c r="J20" s="37">
        <v>0.28000000000000003</v>
      </c>
      <c r="K20" s="37">
        <v>0.28000000000000003</v>
      </c>
      <c r="L20" s="37">
        <v>0.28000000000000003</v>
      </c>
    </row>
    <row r="21" spans="2:12" x14ac:dyDescent="0.2">
      <c r="B21" s="35"/>
      <c r="C21" s="39"/>
      <c r="D21" s="43"/>
      <c r="E21" s="43"/>
      <c r="F21" s="43"/>
      <c r="G21" s="48"/>
      <c r="H21" s="43"/>
      <c r="I21" s="43"/>
      <c r="J21" s="43"/>
      <c r="K21" s="43"/>
      <c r="L21" s="43"/>
    </row>
    <row r="22" spans="2:12" x14ac:dyDescent="0.2">
      <c r="B22" s="36" t="s">
        <v>11</v>
      </c>
      <c r="C22" s="35"/>
      <c r="D22" s="38">
        <v>0.01</v>
      </c>
      <c r="E22" s="38">
        <v>8.9999999999999993E-3</v>
      </c>
      <c r="F22" s="38">
        <v>1.2E-2</v>
      </c>
      <c r="G22" s="49">
        <v>0.01</v>
      </c>
      <c r="H22" s="38">
        <v>0.01</v>
      </c>
      <c r="I22" s="38">
        <v>0.01</v>
      </c>
      <c r="J22" s="38">
        <v>0.01</v>
      </c>
      <c r="K22" s="38">
        <v>0.01</v>
      </c>
      <c r="L22" s="38">
        <v>0.01</v>
      </c>
    </row>
    <row r="23" spans="2:12" x14ac:dyDescent="0.2">
      <c r="B23" s="36" t="s">
        <v>12</v>
      </c>
      <c r="C23" s="35"/>
      <c r="D23" s="43">
        <v>0.2</v>
      </c>
      <c r="E23" s="43">
        <v>0.2</v>
      </c>
      <c r="F23" s="43">
        <v>0.2</v>
      </c>
      <c r="G23" s="48">
        <v>0.2</v>
      </c>
      <c r="H23" s="43">
        <f t="shared" ref="H23:L23" si="1">G23</f>
        <v>0.2</v>
      </c>
      <c r="I23" s="43">
        <f t="shared" si="1"/>
        <v>0.2</v>
      </c>
      <c r="J23" s="43">
        <f t="shared" si="1"/>
        <v>0.2</v>
      </c>
      <c r="K23" s="43">
        <f t="shared" si="1"/>
        <v>0.2</v>
      </c>
      <c r="L23" s="43">
        <f t="shared" si="1"/>
        <v>0.2</v>
      </c>
    </row>
    <row r="24" spans="2:12" x14ac:dyDescent="0.2">
      <c r="B24" s="41" t="s">
        <v>60</v>
      </c>
      <c r="C24" s="18"/>
      <c r="D24" s="18"/>
      <c r="E24" s="18"/>
      <c r="F24" s="18"/>
      <c r="G24" s="52"/>
      <c r="H24" s="18"/>
      <c r="I24" s="18"/>
      <c r="J24" s="18"/>
      <c r="K24" s="18"/>
      <c r="L24" s="18"/>
    </row>
    <row r="27" spans="2:12" x14ac:dyDescent="0.2">
      <c r="B27" s="64" t="s">
        <v>66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</row>
    <row r="29" spans="2:12" x14ac:dyDescent="0.2">
      <c r="B29" s="4"/>
      <c r="C29" s="4"/>
      <c r="D29" s="25" t="s">
        <v>3</v>
      </c>
      <c r="E29" s="25" t="s">
        <v>2</v>
      </c>
      <c r="F29" s="25" t="s">
        <v>1</v>
      </c>
      <c r="G29" s="45" t="s">
        <v>0</v>
      </c>
      <c r="H29" s="25" t="s">
        <v>61</v>
      </c>
      <c r="I29" s="25" t="s">
        <v>62</v>
      </c>
      <c r="J29" s="25" t="s">
        <v>63</v>
      </c>
      <c r="K29" s="25" t="s">
        <v>64</v>
      </c>
      <c r="L29" s="25" t="s">
        <v>65</v>
      </c>
    </row>
    <row r="30" spans="2:12" x14ac:dyDescent="0.2">
      <c r="B30" s="15" t="s">
        <v>13</v>
      </c>
      <c r="C30" s="15"/>
      <c r="D30" s="14">
        <v>88.72642095363156</v>
      </c>
      <c r="E30" s="14">
        <v>97.599063048994722</v>
      </c>
      <c r="F30" s="14">
        <v>91.743119266055032</v>
      </c>
      <c r="G30" s="53">
        <v>100</v>
      </c>
      <c r="H30" s="14">
        <f>G30*(1+H9)</f>
        <v>104</v>
      </c>
      <c r="I30" s="14">
        <f t="shared" ref="I30:L30" si="2">H30*(1+I9)</f>
        <v>108.16</v>
      </c>
      <c r="J30" s="14">
        <f t="shared" si="2"/>
        <v>112.4864</v>
      </c>
      <c r="K30" s="14">
        <f t="shared" si="2"/>
        <v>116.98585600000001</v>
      </c>
      <c r="L30" s="14">
        <f t="shared" si="2"/>
        <v>121.66529024000002</v>
      </c>
    </row>
    <row r="31" spans="2:12" x14ac:dyDescent="0.2">
      <c r="B31" s="2" t="s">
        <v>14</v>
      </c>
      <c r="D31" s="13">
        <v>43.475946267279461</v>
      </c>
      <c r="E31" s="13">
        <v>45.871559633027516</v>
      </c>
      <c r="F31" s="13">
        <v>41.28440366972476</v>
      </c>
      <c r="G31" s="54">
        <f t="shared" ref="E31:L31" si="3">G30*(1-G10)</f>
        <v>43.999999999999993</v>
      </c>
      <c r="H31" s="13">
        <f t="shared" si="3"/>
        <v>44.720000000000006</v>
      </c>
      <c r="I31" s="13">
        <f t="shared" si="3"/>
        <v>45.968000000000004</v>
      </c>
      <c r="J31" s="13">
        <f t="shared" si="3"/>
        <v>47.244288000000005</v>
      </c>
      <c r="K31" s="13">
        <f t="shared" si="3"/>
        <v>49.134059520000008</v>
      </c>
      <c r="L31" s="13">
        <f t="shared" si="3"/>
        <v>51.09942190080001</v>
      </c>
    </row>
    <row r="32" spans="2:12" x14ac:dyDescent="0.2">
      <c r="B32" s="5" t="s">
        <v>15</v>
      </c>
      <c r="C32" s="5"/>
      <c r="D32" s="17">
        <f>D30-D31</f>
        <v>45.250474686352099</v>
      </c>
      <c r="E32" s="17">
        <f t="shared" ref="E32:L32" si="4">E30-E31</f>
        <v>51.727503415967206</v>
      </c>
      <c r="F32" s="17">
        <f t="shared" si="4"/>
        <v>50.458715596330272</v>
      </c>
      <c r="G32" s="55">
        <f t="shared" si="4"/>
        <v>56.000000000000007</v>
      </c>
      <c r="H32" s="17">
        <f t="shared" si="4"/>
        <v>59.279999999999994</v>
      </c>
      <c r="I32" s="17">
        <f t="shared" si="4"/>
        <v>62.191999999999993</v>
      </c>
      <c r="J32" s="17">
        <f t="shared" si="4"/>
        <v>65.242111999999992</v>
      </c>
      <c r="K32" s="17">
        <f t="shared" si="4"/>
        <v>67.851796480000004</v>
      </c>
      <c r="L32" s="17">
        <f t="shared" si="4"/>
        <v>70.565868339200009</v>
      </c>
    </row>
    <row r="33" spans="2:14" x14ac:dyDescent="0.2">
      <c r="B33" s="18"/>
      <c r="C33" s="18"/>
      <c r="D33" s="58">
        <f>D32/D30</f>
        <v>0.51</v>
      </c>
      <c r="E33" s="58">
        <f t="shared" ref="E33:L33" si="5">E32/E30</f>
        <v>0.53</v>
      </c>
      <c r="F33" s="58">
        <f t="shared" si="5"/>
        <v>0.55000000000000004</v>
      </c>
      <c r="G33" s="59">
        <f t="shared" si="5"/>
        <v>0.56000000000000005</v>
      </c>
      <c r="H33" s="58">
        <f t="shared" si="5"/>
        <v>0.56999999999999995</v>
      </c>
      <c r="I33" s="58">
        <f t="shared" si="5"/>
        <v>0.57499999999999996</v>
      </c>
      <c r="J33" s="58">
        <f t="shared" si="5"/>
        <v>0.57999999999999996</v>
      </c>
      <c r="K33" s="58">
        <f t="shared" si="5"/>
        <v>0.57999999999999996</v>
      </c>
      <c r="L33" s="58">
        <f t="shared" si="5"/>
        <v>0.57999999999999996</v>
      </c>
    </row>
    <row r="34" spans="2:14" x14ac:dyDescent="0.2">
      <c r="B34" s="2" t="s">
        <v>16</v>
      </c>
      <c r="D34" s="13">
        <v>34.603304171916307</v>
      </c>
      <c r="E34" s="13">
        <v>37.087643958617996</v>
      </c>
      <c r="F34" s="13">
        <v>33.944954128440365</v>
      </c>
      <c r="G34" s="54">
        <f>G30*G12</f>
        <v>37</v>
      </c>
      <c r="H34" s="13">
        <f>H30*H12</f>
        <v>37.96</v>
      </c>
      <c r="I34" s="13">
        <f>I30*I12</f>
        <v>38.937599999999996</v>
      </c>
      <c r="J34" s="13">
        <f>J30*J12</f>
        <v>39.932671999999997</v>
      </c>
      <c r="K34" s="13">
        <f>K30*K12</f>
        <v>40.945049600000004</v>
      </c>
      <c r="L34" s="13">
        <f>L30*L12</f>
        <v>42.582851584000004</v>
      </c>
    </row>
    <row r="35" spans="2:14" x14ac:dyDescent="0.2">
      <c r="B35" s="5" t="s">
        <v>17</v>
      </c>
      <c r="C35" s="5"/>
      <c r="D35" s="17">
        <f>D32-D34</f>
        <v>10.647170514435793</v>
      </c>
      <c r="E35" s="17">
        <f>E32-E34</f>
        <v>14.63985945734921</v>
      </c>
      <c r="F35" s="17">
        <f>F32-F34</f>
        <v>16.513761467889907</v>
      </c>
      <c r="G35" s="55">
        <f>G32-G34</f>
        <v>19.000000000000007</v>
      </c>
      <c r="H35" s="17">
        <f>H32-H34</f>
        <v>21.319999999999993</v>
      </c>
      <c r="I35" s="17">
        <f>I32-I34</f>
        <v>23.254399999999997</v>
      </c>
      <c r="J35" s="17">
        <f>J32-J34</f>
        <v>25.309439999999995</v>
      </c>
      <c r="K35" s="17">
        <f>K32-K34</f>
        <v>26.90674688</v>
      </c>
      <c r="L35" s="17">
        <f>L32-L34</f>
        <v>27.983016755200005</v>
      </c>
    </row>
    <row r="36" spans="2:14" x14ac:dyDescent="0.2">
      <c r="B36" s="18"/>
      <c r="C36" s="18"/>
      <c r="D36" s="58">
        <f>D35/D30</f>
        <v>0.12000000000000006</v>
      </c>
      <c r="E36" s="58">
        <f>E35/E30</f>
        <v>0.15000000000000002</v>
      </c>
      <c r="F36" s="58">
        <f>F35/F30</f>
        <v>0.18000000000000002</v>
      </c>
      <c r="G36" s="59">
        <f>G35/G30</f>
        <v>0.19000000000000006</v>
      </c>
      <c r="H36" s="58">
        <f>H35/H30</f>
        <v>0.20499999999999993</v>
      </c>
      <c r="I36" s="58">
        <f>I35/I30</f>
        <v>0.21499999999999997</v>
      </c>
      <c r="J36" s="58">
        <f>J35/J30</f>
        <v>0.22499999999999995</v>
      </c>
      <c r="K36" s="58">
        <f>K35/K30</f>
        <v>0.22999999999999998</v>
      </c>
      <c r="L36" s="58">
        <f>L35/L30</f>
        <v>0.23</v>
      </c>
    </row>
    <row r="37" spans="2:14" x14ac:dyDescent="0.2">
      <c r="B37" s="2" t="s">
        <v>18</v>
      </c>
      <c r="D37" s="11">
        <v>8.8726420953631564</v>
      </c>
      <c r="E37" s="11">
        <v>10.73589693538942</v>
      </c>
      <c r="F37" s="11">
        <v>9.6330275229357785</v>
      </c>
      <c r="G37" s="56">
        <f>G30*G13</f>
        <v>10</v>
      </c>
      <c r="H37" s="11">
        <f>H30*H13</f>
        <v>9.8800000000000008</v>
      </c>
      <c r="I37" s="11">
        <f>I30*I13</f>
        <v>9.7343999999999991</v>
      </c>
      <c r="J37" s="11">
        <f>J30*J13</f>
        <v>10.123775999999999</v>
      </c>
      <c r="K37" s="11">
        <f>K30*K13</f>
        <v>10.528727040000001</v>
      </c>
      <c r="L37" s="11">
        <f>L30*L13</f>
        <v>10.949876121600001</v>
      </c>
    </row>
    <row r="38" spans="2:14" x14ac:dyDescent="0.2">
      <c r="B38" s="5" t="s">
        <v>19</v>
      </c>
      <c r="C38" s="5"/>
      <c r="D38" s="17">
        <f>D35-D37</f>
        <v>1.7745284190726363</v>
      </c>
      <c r="E38" s="17">
        <f>E35-E37</f>
        <v>3.9039625219597909</v>
      </c>
      <c r="F38" s="17">
        <f>F35-F37</f>
        <v>6.8807339449541285</v>
      </c>
      <c r="G38" s="55">
        <f>G35-G37</f>
        <v>9.0000000000000071</v>
      </c>
      <c r="H38" s="17">
        <f>H35-H37</f>
        <v>11.439999999999992</v>
      </c>
      <c r="I38" s="17">
        <f>I35-I37</f>
        <v>13.519999999999998</v>
      </c>
      <c r="J38" s="17">
        <f>J35-J37</f>
        <v>15.185663999999996</v>
      </c>
      <c r="K38" s="17">
        <f>K35-K37</f>
        <v>16.37801984</v>
      </c>
      <c r="L38" s="17">
        <f>L35-L37</f>
        <v>17.033140633600006</v>
      </c>
    </row>
    <row r="39" spans="2:14" x14ac:dyDescent="0.2">
      <c r="B39" s="18"/>
      <c r="C39" s="18"/>
      <c r="D39" s="60">
        <f>D38/D30</f>
        <v>2.0000000000000056E-2</v>
      </c>
      <c r="E39" s="60">
        <f>E38/E30</f>
        <v>4.0000000000000022E-2</v>
      </c>
      <c r="F39" s="60">
        <f>F38/F30</f>
        <v>7.5000000000000011E-2</v>
      </c>
      <c r="G39" s="61">
        <f>G38/G30</f>
        <v>9.0000000000000066E-2</v>
      </c>
      <c r="H39" s="60">
        <f>H38/H30</f>
        <v>0.10999999999999993</v>
      </c>
      <c r="I39" s="60">
        <f>I38/I30</f>
        <v>0.12499999999999999</v>
      </c>
      <c r="J39" s="60">
        <f>J38/J30</f>
        <v>0.13499999999999995</v>
      </c>
      <c r="K39" s="60">
        <f>K38/K30</f>
        <v>0.13999999999999999</v>
      </c>
      <c r="L39" s="60">
        <f>L38/L30</f>
        <v>0.14000000000000001</v>
      </c>
    </row>
    <row r="40" spans="2:14" x14ac:dyDescent="0.2">
      <c r="B40" s="2" t="s">
        <v>49</v>
      </c>
      <c r="D40" s="11">
        <v>0.9</v>
      </c>
      <c r="E40" s="11">
        <v>1.1100000000000001</v>
      </c>
      <c r="F40" s="11">
        <v>1</v>
      </c>
      <c r="G40" s="56">
        <f>(F55+G79)*G23</f>
        <v>0.76</v>
      </c>
      <c r="H40" s="11">
        <f>(G55+H79)*H23</f>
        <v>0.80800000000000005</v>
      </c>
      <c r="I40" s="11">
        <f>(H55+I79)*I23</f>
        <v>0.86272000000000004</v>
      </c>
      <c r="J40" s="11">
        <f>(I55+J79)*J23</f>
        <v>0.9151488000000001</v>
      </c>
      <c r="K40" s="11">
        <f>(J55+K79)*K23</f>
        <v>0.96609075200000027</v>
      </c>
      <c r="L40" s="11">
        <f>(K55+L79)*L23</f>
        <v>1.0162031820800002</v>
      </c>
      <c r="N40" s="10"/>
    </row>
    <row r="41" spans="2:14" x14ac:dyDescent="0.2">
      <c r="B41" s="5" t="s">
        <v>50</v>
      </c>
      <c r="C41" s="5"/>
      <c r="D41" s="17">
        <f>D38-D40</f>
        <v>0.87452841907263623</v>
      </c>
      <c r="E41" s="17">
        <f>E38-E40</f>
        <v>2.7939625219597906</v>
      </c>
      <c r="F41" s="17">
        <f>F38-F40</f>
        <v>5.8807339449541285</v>
      </c>
      <c r="G41" s="55">
        <f>G38-G40</f>
        <v>8.2400000000000073</v>
      </c>
      <c r="H41" s="17">
        <f>H38-H40</f>
        <v>10.631999999999993</v>
      </c>
      <c r="I41" s="17">
        <f>I38-I40</f>
        <v>12.657279999999998</v>
      </c>
      <c r="J41" s="17">
        <f>J38-J40</f>
        <v>14.270515199999995</v>
      </c>
      <c r="K41" s="17">
        <f>K38-K40</f>
        <v>15.411929088000001</v>
      </c>
      <c r="L41" s="17">
        <f>L38-L40</f>
        <v>16.016937451520004</v>
      </c>
    </row>
    <row r="42" spans="2:14" s="3" customFormat="1" x14ac:dyDescent="0.2">
      <c r="B42" s="22"/>
      <c r="C42" s="22"/>
      <c r="D42" s="58">
        <f>D41/D30</f>
        <v>9.8564600000000547E-3</v>
      </c>
      <c r="E42" s="58">
        <f>E41/E30</f>
        <v>2.8626940000000017E-2</v>
      </c>
      <c r="F42" s="58">
        <f>F41/F30</f>
        <v>6.4100000000000004E-2</v>
      </c>
      <c r="G42" s="59">
        <f>G41/G30</f>
        <v>8.240000000000007E-2</v>
      </c>
      <c r="H42" s="58">
        <f>H41/H30</f>
        <v>0.10223076923076915</v>
      </c>
      <c r="I42" s="58">
        <f>I41/I30</f>
        <v>0.11702366863905324</v>
      </c>
      <c r="J42" s="58">
        <f>J41/J30</f>
        <v>0.12686436049157937</v>
      </c>
      <c r="K42" s="58">
        <f>K41/K30</f>
        <v>0.1317418157627534</v>
      </c>
      <c r="L42" s="58">
        <f>L41/L30</f>
        <v>0.13164755058673341</v>
      </c>
    </row>
    <row r="43" spans="2:14" x14ac:dyDescent="0.2">
      <c r="B43" s="2" t="s">
        <v>52</v>
      </c>
      <c r="D43" s="11">
        <v>0.3</v>
      </c>
      <c r="E43" s="11">
        <v>0.24</v>
      </c>
      <c r="F43" s="11">
        <v>0.21</v>
      </c>
      <c r="G43" s="56">
        <f>F60*G14</f>
        <v>0.18</v>
      </c>
      <c r="H43" s="11">
        <f>G60*H14</f>
        <v>0.12</v>
      </c>
      <c r="I43" s="11">
        <f>H60*I14</f>
        <v>0.12</v>
      </c>
      <c r="J43" s="11">
        <f>I60*J14</f>
        <v>0.12</v>
      </c>
      <c r="K43" s="11">
        <f>J60*K14</f>
        <v>0.12</v>
      </c>
      <c r="L43" s="11">
        <f>K60*L14</f>
        <v>0.12</v>
      </c>
    </row>
    <row r="44" spans="2:14" x14ac:dyDescent="0.2">
      <c r="B44" s="2" t="s">
        <v>53</v>
      </c>
      <c r="D44" s="11">
        <v>0.12524719535783471</v>
      </c>
      <c r="E44" s="11">
        <v>0.55676382978723427</v>
      </c>
      <c r="F44" s="11">
        <v>1.2362200000000001</v>
      </c>
      <c r="G44" s="56">
        <f>(G41-G43)*G15</f>
        <v>1.7570800000000018</v>
      </c>
      <c r="H44" s="11">
        <f>(H41-H43)*H15</f>
        <v>2.2916159999999985</v>
      </c>
      <c r="I44" s="11">
        <f>(I41-I43)*I15</f>
        <v>2.7331270399999998</v>
      </c>
      <c r="J44" s="11">
        <f>(J41-J43)*J15</f>
        <v>3.0848123135999992</v>
      </c>
      <c r="K44" s="11">
        <f>(K41-K43)*K15</f>
        <v>3.3336405411840002</v>
      </c>
      <c r="L44" s="11">
        <f>(L41-L43)*L15</f>
        <v>3.4655323644313611</v>
      </c>
    </row>
    <row r="45" spans="2:14" s="7" customFormat="1" x14ac:dyDescent="0.2">
      <c r="B45" s="5" t="s">
        <v>34</v>
      </c>
      <c r="C45" s="5"/>
      <c r="D45" s="17">
        <f>D41-D43-D44</f>
        <v>0.44928122371480161</v>
      </c>
      <c r="E45" s="17">
        <f>E41-E43-E44</f>
        <v>1.9971986921725562</v>
      </c>
      <c r="F45" s="17">
        <f>F41-F43-F44</f>
        <v>4.4345139449541282</v>
      </c>
      <c r="G45" s="55">
        <f>G41-G43-G44</f>
        <v>6.3029200000000056</v>
      </c>
      <c r="H45" s="17">
        <f>H41-H43-H44</f>
        <v>8.2203839999999957</v>
      </c>
      <c r="I45" s="17">
        <f>I41-I43-I44</f>
        <v>9.8041529599999997</v>
      </c>
      <c r="J45" s="17">
        <f>J41-J43-J44</f>
        <v>11.065702886399997</v>
      </c>
      <c r="K45" s="17">
        <f>K41-K43-K44</f>
        <v>11.958288546816002</v>
      </c>
      <c r="L45" s="17">
        <f>L41-L43-L44</f>
        <v>12.431405087088644</v>
      </c>
    </row>
    <row r="46" spans="2:14" s="3" customFormat="1" x14ac:dyDescent="0.2">
      <c r="B46" s="22"/>
      <c r="C46" s="22"/>
      <c r="D46" s="58">
        <f>D45/D30</f>
        <v>5.0636689600000433E-3</v>
      </c>
      <c r="E46" s="58">
        <f>E45/E30</f>
        <v>2.0463297800000012E-2</v>
      </c>
      <c r="F46" s="58">
        <f>F45/F30</f>
        <v>4.8336202000000002E-2</v>
      </c>
      <c r="G46" s="59">
        <f>G45/G30</f>
        <v>6.3029200000000063E-2</v>
      </c>
      <c r="H46" s="58">
        <f>H45/H30</f>
        <v>7.9042153846153804E-2</v>
      </c>
      <c r="I46" s="58">
        <f>I45/I30</f>
        <v>9.0644905325443781E-2</v>
      </c>
      <c r="J46" s="58">
        <f>J45/J30</f>
        <v>9.8373695721438295E-2</v>
      </c>
      <c r="K46" s="58">
        <f>K45/K30</f>
        <v>0.10221995167361088</v>
      </c>
      <c r="L46" s="58">
        <f>L45/L30</f>
        <v>0.10217708816184255</v>
      </c>
    </row>
    <row r="48" spans="2:14" x14ac:dyDescent="0.2">
      <c r="E48" s="11"/>
      <c r="F48" s="11"/>
      <c r="G48" s="29"/>
      <c r="H48" s="11"/>
      <c r="I48" s="11"/>
      <c r="J48" s="11"/>
      <c r="K48" s="11"/>
      <c r="L48" s="11"/>
    </row>
    <row r="49" spans="2:12" x14ac:dyDescent="0.2">
      <c r="B49" s="64" t="s">
        <v>67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</row>
    <row r="51" spans="2:12" x14ac:dyDescent="0.2">
      <c r="B51" s="4"/>
      <c r="C51" s="4"/>
      <c r="D51" s="25" t="s">
        <v>3</v>
      </c>
      <c r="E51" s="25" t="s">
        <v>2</v>
      </c>
      <c r="F51" s="25" t="s">
        <v>1</v>
      </c>
      <c r="G51" s="45" t="s">
        <v>0</v>
      </c>
      <c r="H51" s="25" t="s">
        <v>61</v>
      </c>
      <c r="I51" s="25" t="s">
        <v>62</v>
      </c>
      <c r="J51" s="25" t="s">
        <v>63</v>
      </c>
      <c r="K51" s="25" t="s">
        <v>64</v>
      </c>
      <c r="L51" s="25" t="s">
        <v>65</v>
      </c>
    </row>
    <row r="52" spans="2:12" x14ac:dyDescent="0.2">
      <c r="B52" t="s">
        <v>47</v>
      </c>
      <c r="D52" s="11">
        <v>0</v>
      </c>
      <c r="E52" s="11">
        <v>0</v>
      </c>
      <c r="F52" s="11">
        <v>0</v>
      </c>
      <c r="G52" s="56">
        <v>0</v>
      </c>
      <c r="H52" s="11">
        <f>G52+H86</f>
        <v>0</v>
      </c>
      <c r="I52" s="11">
        <f t="shared" ref="I52:L52" si="6">H52+I86</f>
        <v>0</v>
      </c>
      <c r="J52" s="11">
        <f t="shared" si="6"/>
        <v>0</v>
      </c>
      <c r="K52" s="11">
        <f t="shared" si="6"/>
        <v>0</v>
      </c>
      <c r="L52" s="11">
        <f t="shared" si="6"/>
        <v>0</v>
      </c>
    </row>
    <row r="53" spans="2:12" x14ac:dyDescent="0.2">
      <c r="B53" t="s">
        <v>20</v>
      </c>
      <c r="D53" s="13">
        <v>9.9</v>
      </c>
      <c r="E53" s="13">
        <v>10.8</v>
      </c>
      <c r="F53" s="13">
        <v>8.5</v>
      </c>
      <c r="G53" s="54">
        <f>G18*G30</f>
        <v>9</v>
      </c>
      <c r="H53" s="13">
        <f>H18*H30</f>
        <v>8.32</v>
      </c>
      <c r="I53" s="13">
        <f>I18*I30</f>
        <v>8.6527999999999992</v>
      </c>
      <c r="J53" s="13">
        <f>J18*J30</f>
        <v>8.9989120000000007</v>
      </c>
      <c r="K53" s="13">
        <f>K18*K30</f>
        <v>9.3588684800000017</v>
      </c>
      <c r="L53" s="13">
        <f>L18*L30</f>
        <v>9.733223219200001</v>
      </c>
    </row>
    <row r="54" spans="2:12" x14ac:dyDescent="0.2">
      <c r="B54" t="s">
        <v>21</v>
      </c>
      <c r="D54" s="13">
        <v>36.6</v>
      </c>
      <c r="E54" s="13">
        <v>36.1</v>
      </c>
      <c r="F54" s="13">
        <v>35</v>
      </c>
      <c r="G54" s="54">
        <f>ROUND(G19*G30,1)</f>
        <v>36</v>
      </c>
      <c r="H54" s="13">
        <f>ROUND(H19*H30,1)</f>
        <v>37.4</v>
      </c>
      <c r="I54" s="13">
        <f>ROUND(I19*I30,1)</f>
        <v>37.9</v>
      </c>
      <c r="J54" s="13">
        <f>ROUND(J19*J30,1)</f>
        <v>39.4</v>
      </c>
      <c r="K54" s="13">
        <f>ROUND(K19*K30,1)</f>
        <v>40.9</v>
      </c>
      <c r="L54" s="13">
        <f>ROUND(L19*L30,1)</f>
        <v>42.6</v>
      </c>
    </row>
    <row r="55" spans="2:12" x14ac:dyDescent="0.2">
      <c r="B55" t="s">
        <v>22</v>
      </c>
      <c r="C55">
        <v>3</v>
      </c>
      <c r="D55" s="11">
        <v>2.9</v>
      </c>
      <c r="E55" s="11">
        <v>2.7</v>
      </c>
      <c r="F55" s="11">
        <v>2.8</v>
      </c>
      <c r="G55" s="54">
        <v>3</v>
      </c>
      <c r="H55" s="13">
        <f>G55+H79-H40</f>
        <v>3.2320000000000002</v>
      </c>
      <c r="I55" s="13">
        <f>H55+I79-I40</f>
        <v>3.4508800000000002</v>
      </c>
      <c r="J55" s="13">
        <f>I55+J79-J40</f>
        <v>3.6605952000000004</v>
      </c>
      <c r="K55" s="13">
        <f>J55+K79-K40</f>
        <v>3.8643630080000007</v>
      </c>
      <c r="L55" s="13">
        <f>K55+L79-L40</f>
        <v>4.0648127283200006</v>
      </c>
    </row>
    <row r="56" spans="2:12" x14ac:dyDescent="0.2">
      <c r="B56" t="s">
        <v>23</v>
      </c>
      <c r="D56" s="13">
        <v>12</v>
      </c>
      <c r="E56" s="13">
        <v>12</v>
      </c>
      <c r="F56" s="13">
        <v>12</v>
      </c>
      <c r="G56" s="54">
        <v>12</v>
      </c>
      <c r="H56" s="13">
        <v>12</v>
      </c>
      <c r="I56" s="13">
        <v>12</v>
      </c>
      <c r="J56" s="13">
        <v>12</v>
      </c>
      <c r="K56" s="13">
        <v>12</v>
      </c>
      <c r="L56" s="13">
        <v>12</v>
      </c>
    </row>
    <row r="57" spans="2:12" s="7" customFormat="1" x14ac:dyDescent="0.2">
      <c r="B57" s="4" t="s">
        <v>24</v>
      </c>
      <c r="C57" s="4"/>
      <c r="D57" s="16">
        <f>SUM(D52:D56)</f>
        <v>61.4</v>
      </c>
      <c r="E57" s="16">
        <f>SUM(E52:E56)</f>
        <v>61.600000000000009</v>
      </c>
      <c r="F57" s="16">
        <f t="shared" ref="F57" si="7">SUM(F52:F56)</f>
        <v>58.3</v>
      </c>
      <c r="G57" s="62">
        <f>SUM(G52:G56)</f>
        <v>60</v>
      </c>
      <c r="H57" s="16">
        <f t="shared" ref="H57:L57" si="8">SUM(H52:H56)</f>
        <v>60.951999999999998</v>
      </c>
      <c r="I57" s="16">
        <f t="shared" si="8"/>
        <v>62.003679999999996</v>
      </c>
      <c r="J57" s="16">
        <f t="shared" si="8"/>
        <v>64.059507199999999</v>
      </c>
      <c r="K57" s="16">
        <f t="shared" si="8"/>
        <v>66.123231488000002</v>
      </c>
      <c r="L57" s="16">
        <f t="shared" si="8"/>
        <v>68.39803594752</v>
      </c>
    </row>
    <row r="58" spans="2:12" x14ac:dyDescent="0.2">
      <c r="G58" s="28"/>
    </row>
    <row r="59" spans="2:12" x14ac:dyDescent="0.2">
      <c r="B59" t="s">
        <v>25</v>
      </c>
      <c r="D59" s="13">
        <v>26.6</v>
      </c>
      <c r="E59" s="13">
        <v>27.6</v>
      </c>
      <c r="F59" s="13">
        <v>22.9</v>
      </c>
      <c r="G59" s="54">
        <f>ROUND(G30*G20,1)</f>
        <v>26</v>
      </c>
      <c r="H59" s="13">
        <f>ROUND(H30*H20,1)</f>
        <v>29.1</v>
      </c>
      <c r="I59" s="13">
        <f>ROUND(I30*I20,1)</f>
        <v>30.3</v>
      </c>
      <c r="J59" s="13">
        <f>ROUND(J30*J20,1)</f>
        <v>31.5</v>
      </c>
      <c r="K59" s="13">
        <f>ROUND(K30*K20,1)</f>
        <v>32.799999999999997</v>
      </c>
      <c r="L59" s="13">
        <f>ROUND(L30*L20,1)</f>
        <v>34.1</v>
      </c>
    </row>
    <row r="60" spans="2:12" x14ac:dyDescent="0.2">
      <c r="B60" t="s">
        <v>26</v>
      </c>
      <c r="D60" s="11">
        <v>8</v>
      </c>
      <c r="E60" s="11">
        <v>7</v>
      </c>
      <c r="F60" s="11">
        <v>6</v>
      </c>
      <c r="G60" s="56">
        <v>4</v>
      </c>
      <c r="H60" s="13">
        <v>4</v>
      </c>
      <c r="I60" s="13">
        <v>4</v>
      </c>
      <c r="J60" s="13">
        <v>4</v>
      </c>
      <c r="K60" s="13">
        <v>4</v>
      </c>
      <c r="L60" s="13">
        <v>4</v>
      </c>
    </row>
    <row r="61" spans="2:12" s="7" customFormat="1" x14ac:dyDescent="0.2">
      <c r="B61" s="4" t="s">
        <v>27</v>
      </c>
      <c r="C61" s="4"/>
      <c r="D61" s="16">
        <f t="shared" ref="D61:F61" si="9">SUM(D59:D60)</f>
        <v>34.6</v>
      </c>
      <c r="E61" s="16">
        <f t="shared" si="9"/>
        <v>34.6</v>
      </c>
      <c r="F61" s="16">
        <f t="shared" si="9"/>
        <v>28.9</v>
      </c>
      <c r="G61" s="62">
        <f>SUM(G59:G60)</f>
        <v>30</v>
      </c>
      <c r="H61" s="16">
        <f t="shared" ref="H61:L61" si="10">SUM(H59:H60)</f>
        <v>33.1</v>
      </c>
      <c r="I61" s="16">
        <f t="shared" si="10"/>
        <v>34.299999999999997</v>
      </c>
      <c r="J61" s="16">
        <f t="shared" si="10"/>
        <v>35.5</v>
      </c>
      <c r="K61" s="16">
        <f t="shared" si="10"/>
        <v>36.799999999999997</v>
      </c>
      <c r="L61" s="16">
        <f t="shared" si="10"/>
        <v>38.1</v>
      </c>
    </row>
    <row r="62" spans="2:12" x14ac:dyDescent="0.2">
      <c r="B62" t="s">
        <v>28</v>
      </c>
      <c r="D62" s="13">
        <v>10</v>
      </c>
      <c r="E62" s="13">
        <v>10</v>
      </c>
      <c r="F62" s="13">
        <v>10</v>
      </c>
      <c r="G62" s="54">
        <v>10</v>
      </c>
      <c r="H62" s="13">
        <v>10</v>
      </c>
      <c r="I62" s="13">
        <v>10</v>
      </c>
      <c r="J62" s="13">
        <v>10</v>
      </c>
      <c r="K62" s="13">
        <v>10</v>
      </c>
      <c r="L62" s="13">
        <v>10</v>
      </c>
    </row>
    <row r="63" spans="2:12" x14ac:dyDescent="0.2">
      <c r="B63" t="s">
        <v>29</v>
      </c>
      <c r="D63" s="12">
        <v>0</v>
      </c>
      <c r="E63" s="12">
        <v>0</v>
      </c>
      <c r="F63" s="12">
        <v>-1</v>
      </c>
      <c r="G63" s="54">
        <v>-2</v>
      </c>
      <c r="H63" s="13">
        <v>-2</v>
      </c>
      <c r="I63" s="13">
        <v>-2</v>
      </c>
      <c r="J63" s="13">
        <v>-2</v>
      </c>
      <c r="K63" s="13">
        <v>-2</v>
      </c>
      <c r="L63" s="13">
        <v>-2</v>
      </c>
    </row>
    <row r="64" spans="2:12" x14ac:dyDescent="0.2">
      <c r="B64" t="s">
        <v>30</v>
      </c>
      <c r="D64" s="13">
        <v>16.799999999999997</v>
      </c>
      <c r="E64" s="13">
        <v>17.000000000000004</v>
      </c>
      <c r="F64" s="13">
        <v>20.400000000000002</v>
      </c>
      <c r="G64" s="54">
        <f>G57-G62-G63-G61</f>
        <v>22</v>
      </c>
      <c r="H64" s="13">
        <f>G64+H45-H85</f>
        <v>19.851999999999997</v>
      </c>
      <c r="I64" s="13">
        <f>H64+I45-I85</f>
        <v>19.703679999999999</v>
      </c>
      <c r="J64" s="13">
        <f>I64+J45-J85</f>
        <v>20.559507199999999</v>
      </c>
      <c r="K64" s="13">
        <f>J64+K45-K85</f>
        <v>21.323231488000008</v>
      </c>
      <c r="L64" s="13">
        <f>K64+L45-L85</f>
        <v>22.298035947520003</v>
      </c>
    </row>
    <row r="65" spans="2:12" s="7" customFormat="1" x14ac:dyDescent="0.2">
      <c r="B65" s="4" t="s">
        <v>31</v>
      </c>
      <c r="C65" s="4"/>
      <c r="D65" s="16">
        <f t="shared" ref="D65:F65" si="11">SUM(D62:D64)</f>
        <v>26.799999999999997</v>
      </c>
      <c r="E65" s="16">
        <f t="shared" si="11"/>
        <v>27.000000000000004</v>
      </c>
      <c r="F65" s="16">
        <f t="shared" si="11"/>
        <v>29.400000000000002</v>
      </c>
      <c r="G65" s="62">
        <f>SUM(G62:G64)</f>
        <v>30</v>
      </c>
      <c r="H65" s="16">
        <f>SUM(H62:H64)</f>
        <v>27.851999999999997</v>
      </c>
      <c r="I65" s="16">
        <f t="shared" ref="I65:L65" si="12">SUM(I62:I64)</f>
        <v>27.703679999999999</v>
      </c>
      <c r="J65" s="16">
        <f t="shared" si="12"/>
        <v>28.559507199999999</v>
      </c>
      <c r="K65" s="16">
        <f t="shared" si="12"/>
        <v>29.323231488000008</v>
      </c>
      <c r="L65" s="16">
        <f t="shared" si="12"/>
        <v>30.298035947520003</v>
      </c>
    </row>
    <row r="66" spans="2:12" x14ac:dyDescent="0.2">
      <c r="B66" s="4" t="s">
        <v>32</v>
      </c>
      <c r="C66" s="4"/>
      <c r="D66" s="16">
        <f>D65+D61</f>
        <v>61.4</v>
      </c>
      <c r="E66" s="16">
        <f t="shared" ref="E66:F66" si="13">E65+E61</f>
        <v>61.600000000000009</v>
      </c>
      <c r="F66" s="16">
        <f t="shared" si="13"/>
        <v>58.3</v>
      </c>
      <c r="G66" s="62">
        <f>G65+G61</f>
        <v>60</v>
      </c>
      <c r="H66" s="16">
        <f t="shared" ref="H66:L66" si="14">H65+H61</f>
        <v>60.951999999999998</v>
      </c>
      <c r="I66" s="16">
        <f t="shared" si="14"/>
        <v>62.003679999999996</v>
      </c>
      <c r="J66" s="16">
        <f t="shared" si="14"/>
        <v>64.059507199999999</v>
      </c>
      <c r="K66" s="16">
        <f t="shared" si="14"/>
        <v>66.123231488000002</v>
      </c>
      <c r="L66" s="16">
        <f t="shared" si="14"/>
        <v>68.39803594752</v>
      </c>
    </row>
    <row r="67" spans="2:12" x14ac:dyDescent="0.2">
      <c r="B67" s="7"/>
    </row>
    <row r="68" spans="2:12" x14ac:dyDescent="0.2">
      <c r="B68" s="65" t="s">
        <v>33</v>
      </c>
      <c r="C68" s="66"/>
      <c r="D68" s="67">
        <f>SUM(D53:D54)-D59</f>
        <v>19.899999999999999</v>
      </c>
      <c r="E68" s="67">
        <f>SUM(E53:E54)-E59</f>
        <v>19.300000000000004</v>
      </c>
      <c r="F68" s="67">
        <f>SUM(F53:F54)-F59</f>
        <v>20.6</v>
      </c>
      <c r="G68" s="67">
        <f>SUM(G53:G54)-G59</f>
        <v>19</v>
      </c>
      <c r="H68" s="67">
        <f>SUM(H53:H54)-H59</f>
        <v>16.619999999999997</v>
      </c>
      <c r="I68" s="67">
        <f>SUM(I53:I54)-I59</f>
        <v>16.252799999999997</v>
      </c>
      <c r="J68" s="67">
        <f>SUM(J53:J54)-J59</f>
        <v>16.898911999999996</v>
      </c>
      <c r="K68" s="67">
        <f>SUM(K53:K54)-K59</f>
        <v>17.458868480000007</v>
      </c>
      <c r="L68" s="67">
        <f>SUM(L53:L54)-L59</f>
        <v>18.233223219199999</v>
      </c>
    </row>
    <row r="70" spans="2:12" x14ac:dyDescent="0.2">
      <c r="B70" s="64" t="s">
        <v>68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</row>
    <row r="71" spans="2:12" x14ac:dyDescent="0.2">
      <c r="B71" s="7"/>
    </row>
    <row r="72" spans="2:12" x14ac:dyDescent="0.2">
      <c r="B72" s="4"/>
      <c r="C72" s="4"/>
      <c r="D72" s="25"/>
      <c r="E72" s="25" t="s">
        <v>2</v>
      </c>
      <c r="F72" s="25" t="s">
        <v>1</v>
      </c>
      <c r="G72" s="45" t="s">
        <v>0</v>
      </c>
      <c r="H72" s="25" t="s">
        <v>61</v>
      </c>
      <c r="I72" s="25" t="s">
        <v>62</v>
      </c>
      <c r="J72" s="25" t="s">
        <v>63</v>
      </c>
      <c r="K72" s="25" t="s">
        <v>64</v>
      </c>
      <c r="L72" s="25" t="s">
        <v>65</v>
      </c>
    </row>
    <row r="73" spans="2:12" x14ac:dyDescent="0.2">
      <c r="B73" s="8" t="s">
        <v>34</v>
      </c>
      <c r="C73" s="20"/>
      <c r="D73" s="21"/>
      <c r="E73" s="21">
        <f>E45</f>
        <v>1.9971986921725562</v>
      </c>
      <c r="F73" s="21">
        <f>F45</f>
        <v>4.4345139449541282</v>
      </c>
      <c r="G73" s="63">
        <f>G45</f>
        <v>6.3029200000000056</v>
      </c>
      <c r="H73" s="21">
        <f>H45</f>
        <v>8.2203839999999957</v>
      </c>
      <c r="I73" s="21">
        <f>I45</f>
        <v>9.8041529599999997</v>
      </c>
      <c r="J73" s="21">
        <f>J45</f>
        <v>11.065702886399997</v>
      </c>
      <c r="K73" s="21">
        <f>K45</f>
        <v>11.958288546816002</v>
      </c>
      <c r="L73" s="21">
        <f>L45</f>
        <v>12.431405087088644</v>
      </c>
    </row>
    <row r="74" spans="2:12" x14ac:dyDescent="0.2">
      <c r="B74" s="9" t="s">
        <v>35</v>
      </c>
      <c r="D74" s="13"/>
      <c r="E74" s="13">
        <f>E43*(1-E15)</f>
        <v>0.18768000000000001</v>
      </c>
      <c r="F74" s="13">
        <f>F43*(1-F15)</f>
        <v>0.16422</v>
      </c>
      <c r="G74" s="54">
        <f>G43*(1-G15)</f>
        <v>0.14076</v>
      </c>
      <c r="H74" s="13">
        <f>H43*(1-H15)</f>
        <v>9.3840000000000007E-2</v>
      </c>
      <c r="I74" s="13">
        <f>I43*(1-I15)</f>
        <v>9.3840000000000007E-2</v>
      </c>
      <c r="J74" s="13">
        <f>J43*(1-J15)</f>
        <v>9.3840000000000007E-2</v>
      </c>
      <c r="K74" s="13">
        <f>K43*(1-K15)</f>
        <v>9.3840000000000007E-2</v>
      </c>
      <c r="L74" s="13">
        <f>L43*(1-L15)</f>
        <v>9.3840000000000007E-2</v>
      </c>
    </row>
    <row r="75" spans="2:12" s="19" customFormat="1" x14ac:dyDescent="0.2">
      <c r="B75" s="8" t="s">
        <v>36</v>
      </c>
      <c r="C75" s="20"/>
      <c r="D75" s="21"/>
      <c r="E75" s="21">
        <f>E73+E74</f>
        <v>2.184878692172556</v>
      </c>
      <c r="F75" s="21">
        <f t="shared" ref="F75:L75" si="15">F73+F74</f>
        <v>4.5987339449541285</v>
      </c>
      <c r="G75" s="63">
        <f>G73+G74</f>
        <v>6.4436800000000058</v>
      </c>
      <c r="H75" s="21">
        <f t="shared" si="15"/>
        <v>8.3142239999999958</v>
      </c>
      <c r="I75" s="21">
        <f t="shared" si="15"/>
        <v>9.8979929599999998</v>
      </c>
      <c r="J75" s="21">
        <f t="shared" si="15"/>
        <v>11.159542886399997</v>
      </c>
      <c r="K75" s="21">
        <f t="shared" si="15"/>
        <v>12.052128546816002</v>
      </c>
      <c r="L75" s="21">
        <f t="shared" si="15"/>
        <v>12.525245087088644</v>
      </c>
    </row>
    <row r="76" spans="2:12" x14ac:dyDescent="0.2">
      <c r="B76" s="9" t="s">
        <v>37</v>
      </c>
      <c r="D76" s="13"/>
      <c r="E76" s="13">
        <f>E40</f>
        <v>1.1100000000000001</v>
      </c>
      <c r="F76" s="13">
        <f>F40</f>
        <v>1</v>
      </c>
      <c r="G76" s="54">
        <f>G40</f>
        <v>0.76</v>
      </c>
      <c r="H76" s="13">
        <f>H40</f>
        <v>0.80800000000000005</v>
      </c>
      <c r="I76" s="13">
        <f>I40</f>
        <v>0.86272000000000004</v>
      </c>
      <c r="J76" s="13">
        <f>J40</f>
        <v>0.9151488000000001</v>
      </c>
      <c r="K76" s="13">
        <f>K40</f>
        <v>0.96609075200000027</v>
      </c>
      <c r="L76" s="13">
        <f>L40</f>
        <v>1.0162031820800002</v>
      </c>
    </row>
    <row r="77" spans="2:12" x14ac:dyDescent="0.2">
      <c r="B77" s="9" t="s">
        <v>38</v>
      </c>
      <c r="D77" s="13"/>
      <c r="E77" s="13">
        <f>E68-D68</f>
        <v>-0.59999999999999432</v>
      </c>
      <c r="F77" s="13">
        <f>F68-E68</f>
        <v>1.2999999999999972</v>
      </c>
      <c r="G77" s="54">
        <f>G68-F68</f>
        <v>-1.6000000000000014</v>
      </c>
      <c r="H77" s="13">
        <f>H68-G68</f>
        <v>-2.3800000000000026</v>
      </c>
      <c r="I77" s="13">
        <f>I68-H68</f>
        <v>-0.36720000000000041</v>
      </c>
      <c r="J77" s="13">
        <f>J68-I68</f>
        <v>0.64611199999999869</v>
      </c>
      <c r="K77" s="13">
        <f>K68-J68</f>
        <v>0.55995648000001097</v>
      </c>
      <c r="L77" s="13">
        <f>L68-K68</f>
        <v>0.77435473919999254</v>
      </c>
    </row>
    <row r="78" spans="2:12" s="19" customFormat="1" x14ac:dyDescent="0.2">
      <c r="B78" s="8" t="s">
        <v>39</v>
      </c>
      <c r="C78" s="20"/>
      <c r="D78" s="21"/>
      <c r="E78" s="21">
        <f>E75+E76-E77</f>
        <v>3.8948786921725507</v>
      </c>
      <c r="F78" s="21">
        <f t="shared" ref="F78:L78" si="16">F75+F76-F77</f>
        <v>4.2987339449541313</v>
      </c>
      <c r="G78" s="63">
        <f>G75+G76-G77</f>
        <v>8.8036800000000071</v>
      </c>
      <c r="H78" s="21">
        <f t="shared" si="16"/>
        <v>11.502223999999998</v>
      </c>
      <c r="I78" s="21">
        <f t="shared" si="16"/>
        <v>11.12791296</v>
      </c>
      <c r="J78" s="21">
        <f t="shared" si="16"/>
        <v>11.428579686399999</v>
      </c>
      <c r="K78" s="21">
        <f t="shared" si="16"/>
        <v>12.458262818815991</v>
      </c>
      <c r="L78" s="21">
        <f t="shared" si="16"/>
        <v>12.767093529968651</v>
      </c>
    </row>
    <row r="79" spans="2:12" x14ac:dyDescent="0.2">
      <c r="B79" s="9" t="s">
        <v>40</v>
      </c>
      <c r="D79" s="13"/>
      <c r="E79" s="13">
        <f>E55+E76-D55</f>
        <v>0.91000000000000059</v>
      </c>
      <c r="F79" s="13">
        <f>F55+F76-E55</f>
        <v>1.0999999999999996</v>
      </c>
      <c r="G79" s="54">
        <f>G22*G30</f>
        <v>1</v>
      </c>
      <c r="H79" s="13">
        <f>H22*H30</f>
        <v>1.04</v>
      </c>
      <c r="I79" s="13">
        <f>I22*I30</f>
        <v>1.0815999999999999</v>
      </c>
      <c r="J79" s="13">
        <f>J22*J30</f>
        <v>1.1248640000000001</v>
      </c>
      <c r="K79" s="13">
        <f>K22*K30</f>
        <v>1.1698585600000002</v>
      </c>
      <c r="L79" s="13">
        <f>L22*L30</f>
        <v>1.2166529024000001</v>
      </c>
    </row>
    <row r="80" spans="2:12" s="19" customFormat="1" x14ac:dyDescent="0.2">
      <c r="B80" s="8" t="s">
        <v>41</v>
      </c>
      <c r="C80" s="20"/>
      <c r="D80" s="21"/>
      <c r="E80" s="21">
        <f>E78-E79</f>
        <v>2.9848786921725501</v>
      </c>
      <c r="F80" s="21">
        <f t="shared" ref="F80:L80" si="17">F78-F79</f>
        <v>3.1987339449541317</v>
      </c>
      <c r="G80" s="63">
        <f>G78-G79</f>
        <v>7.8036800000000071</v>
      </c>
      <c r="H80" s="21">
        <f t="shared" si="17"/>
        <v>10.462223999999999</v>
      </c>
      <c r="I80" s="21">
        <f t="shared" si="17"/>
        <v>10.04631296</v>
      </c>
      <c r="J80" s="21">
        <f t="shared" si="17"/>
        <v>10.303715686399999</v>
      </c>
      <c r="K80" s="21">
        <f t="shared" si="17"/>
        <v>11.288404258815991</v>
      </c>
      <c r="L80" s="21">
        <f t="shared" si="17"/>
        <v>11.550440627568651</v>
      </c>
    </row>
    <row r="81" spans="2:12" x14ac:dyDescent="0.2">
      <c r="B81" s="9" t="s">
        <v>42</v>
      </c>
      <c r="D81" s="13"/>
      <c r="E81" s="13">
        <f>E74</f>
        <v>0.18768000000000001</v>
      </c>
      <c r="F81" s="13">
        <f t="shared" ref="F81:L81" si="18">F74</f>
        <v>0.16422</v>
      </c>
      <c r="G81" s="54">
        <f>G74</f>
        <v>0.14076</v>
      </c>
      <c r="H81" s="13">
        <f t="shared" si="18"/>
        <v>9.3840000000000007E-2</v>
      </c>
      <c r="I81" s="13">
        <f t="shared" si="18"/>
        <v>9.3840000000000007E-2</v>
      </c>
      <c r="J81" s="13">
        <f t="shared" si="18"/>
        <v>9.3840000000000007E-2</v>
      </c>
      <c r="K81" s="13">
        <f t="shared" si="18"/>
        <v>9.3840000000000007E-2</v>
      </c>
      <c r="L81" s="13">
        <f t="shared" si="18"/>
        <v>9.3840000000000007E-2</v>
      </c>
    </row>
    <row r="82" spans="2:12" x14ac:dyDescent="0.2">
      <c r="B82" s="9" t="s">
        <v>43</v>
      </c>
      <c r="D82" s="13"/>
      <c r="E82" s="13">
        <f>E60-D60</f>
        <v>-1</v>
      </c>
      <c r="F82" s="13">
        <f>F60-E60</f>
        <v>-1</v>
      </c>
      <c r="G82" s="54">
        <f>G60-F60</f>
        <v>-2</v>
      </c>
      <c r="H82" s="13">
        <f>H60-G60</f>
        <v>0</v>
      </c>
      <c r="I82" s="13">
        <f>I60-H60</f>
        <v>0</v>
      </c>
      <c r="J82" s="13">
        <f>J60-I60</f>
        <v>0</v>
      </c>
      <c r="K82" s="13">
        <f>K60-J60</f>
        <v>0</v>
      </c>
      <c r="L82" s="13">
        <f>L60-K60</f>
        <v>0</v>
      </c>
    </row>
    <row r="83" spans="2:12" s="19" customFormat="1" x14ac:dyDescent="0.2">
      <c r="B83" s="8" t="s">
        <v>44</v>
      </c>
      <c r="C83" s="20"/>
      <c r="D83" s="21"/>
      <c r="E83" s="21">
        <f>E80-E81+E82</f>
        <v>1.7971986921725502</v>
      </c>
      <c r="F83" s="21">
        <f t="shared" ref="F83:L83" si="19">F80-F81+F82</f>
        <v>2.0345139449541318</v>
      </c>
      <c r="G83" s="63">
        <f>G80-G81+G82</f>
        <v>5.6629200000000068</v>
      </c>
      <c r="H83" s="21">
        <f t="shared" si="19"/>
        <v>10.368383999999999</v>
      </c>
      <c r="I83" s="21">
        <f t="shared" si="19"/>
        <v>9.9524729599999997</v>
      </c>
      <c r="J83" s="21">
        <f t="shared" si="19"/>
        <v>10.209875686399998</v>
      </c>
      <c r="K83" s="21">
        <f t="shared" si="19"/>
        <v>11.194564258815991</v>
      </c>
      <c r="L83" s="21">
        <f t="shared" si="19"/>
        <v>11.456600627568651</v>
      </c>
    </row>
    <row r="84" spans="2:12" x14ac:dyDescent="0.2">
      <c r="B84" s="9" t="s">
        <v>45</v>
      </c>
      <c r="D84" s="13"/>
      <c r="E84" s="13">
        <f>D63-E63</f>
        <v>0</v>
      </c>
      <c r="F84" s="13">
        <f>E63-F63</f>
        <v>1</v>
      </c>
      <c r="G84" s="54">
        <f>F63-G63</f>
        <v>1</v>
      </c>
      <c r="H84" s="13">
        <f>G63-H63</f>
        <v>0</v>
      </c>
      <c r="I84" s="13">
        <f>H63-I63</f>
        <v>0</v>
      </c>
      <c r="J84" s="13">
        <f>I63-J63</f>
        <v>0</v>
      </c>
      <c r="K84" s="13">
        <f>J63-K63</f>
        <v>0</v>
      </c>
      <c r="L84" s="13">
        <f>K63-L63</f>
        <v>0</v>
      </c>
    </row>
    <row r="85" spans="2:12" x14ac:dyDescent="0.2">
      <c r="B85" s="9" t="s">
        <v>46</v>
      </c>
      <c r="D85" s="13"/>
      <c r="E85" s="28">
        <f>E83-E84</f>
        <v>1.7971986921725502</v>
      </c>
      <c r="F85" s="28">
        <f t="shared" ref="F85:L85" si="20">F83-F84</f>
        <v>1.0345139449541318</v>
      </c>
      <c r="G85" s="54">
        <f>G83-G84</f>
        <v>4.6629200000000068</v>
      </c>
      <c r="H85" s="28">
        <f>MAX(H83-H84,0)</f>
        <v>10.368383999999999</v>
      </c>
      <c r="I85" s="28">
        <f t="shared" ref="I85:L85" si="21">MAX(I83-I84,0)</f>
        <v>9.9524729599999997</v>
      </c>
      <c r="J85" s="28">
        <f t="shared" si="21"/>
        <v>10.209875686399998</v>
      </c>
      <c r="K85" s="28">
        <f t="shared" si="21"/>
        <v>11.194564258815991</v>
      </c>
      <c r="L85" s="28">
        <f t="shared" si="21"/>
        <v>11.456600627568651</v>
      </c>
    </row>
    <row r="86" spans="2:12" s="19" customFormat="1" x14ac:dyDescent="0.2">
      <c r="B86" s="8" t="s">
        <v>48</v>
      </c>
      <c r="C86" s="20"/>
      <c r="D86" s="21"/>
      <c r="E86" s="21">
        <f>E83-E84-E85</f>
        <v>0</v>
      </c>
      <c r="F86" s="21">
        <f t="shared" ref="F86:L86" si="22">F83-F84-F85</f>
        <v>0</v>
      </c>
      <c r="G86" s="63">
        <f>G83-G84-G85</f>
        <v>0</v>
      </c>
      <c r="H86" s="21">
        <f t="shared" si="22"/>
        <v>0</v>
      </c>
      <c r="I86" s="21">
        <f t="shared" si="22"/>
        <v>0</v>
      </c>
      <c r="J86" s="21">
        <f t="shared" si="22"/>
        <v>0</v>
      </c>
      <c r="K86" s="21">
        <f t="shared" si="22"/>
        <v>0</v>
      </c>
      <c r="L86" s="21">
        <f t="shared" si="22"/>
        <v>0</v>
      </c>
    </row>
    <row r="88" spans="2:12" x14ac:dyDescent="0.2">
      <c r="E88" s="13"/>
    </row>
    <row r="90" spans="2:12" x14ac:dyDescent="0.2">
      <c r="B90" s="68" t="s">
        <v>70</v>
      </c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2" spans="2:12" x14ac:dyDescent="0.2">
      <c r="B92" t="s">
        <v>54</v>
      </c>
      <c r="D92" s="13">
        <f>D57-D59</f>
        <v>34.799999999999997</v>
      </c>
      <c r="E92" s="13">
        <f>E57-E59</f>
        <v>34.000000000000007</v>
      </c>
      <c r="F92" s="13">
        <f>F57-F59</f>
        <v>35.4</v>
      </c>
      <c r="G92" s="28">
        <f>G57-G59</f>
        <v>34</v>
      </c>
      <c r="H92" s="13">
        <f>H57-H59</f>
        <v>31.851999999999997</v>
      </c>
      <c r="I92" s="13">
        <f>I57-I59</f>
        <v>31.703679999999995</v>
      </c>
      <c r="J92" s="13">
        <f>J57-J59</f>
        <v>32.559507199999999</v>
      </c>
      <c r="K92" s="13">
        <f>K57-K59</f>
        <v>33.323231488000005</v>
      </c>
      <c r="L92" s="13">
        <f>L57-L59</f>
        <v>34.298035947519999</v>
      </c>
    </row>
    <row r="93" spans="2:12" x14ac:dyDescent="0.2">
      <c r="B93" t="s">
        <v>55</v>
      </c>
      <c r="E93" s="13">
        <f>AVERAGE(D92:E92)</f>
        <v>34.400000000000006</v>
      </c>
      <c r="F93" s="13">
        <f t="shared" ref="F93:L93" si="23">AVERAGE(E92:F92)</f>
        <v>34.700000000000003</v>
      </c>
      <c r="G93" s="28">
        <f>AVERAGE(F92:G92)</f>
        <v>34.700000000000003</v>
      </c>
      <c r="H93" s="13">
        <f t="shared" si="23"/>
        <v>32.926000000000002</v>
      </c>
      <c r="I93" s="13">
        <f t="shared" si="23"/>
        <v>31.777839999999998</v>
      </c>
      <c r="J93" s="13">
        <f t="shared" si="23"/>
        <v>32.131593599999995</v>
      </c>
      <c r="K93" s="13">
        <f t="shared" si="23"/>
        <v>32.941369344000002</v>
      </c>
      <c r="L93" s="13">
        <f t="shared" si="23"/>
        <v>33.810633717759998</v>
      </c>
    </row>
    <row r="94" spans="2:12" x14ac:dyDescent="0.2">
      <c r="B94" s="4" t="s">
        <v>56</v>
      </c>
      <c r="C94" s="4"/>
      <c r="D94" s="4"/>
      <c r="E94" s="69">
        <f>E75/E93</f>
        <v>6.3513915470132437E-2</v>
      </c>
      <c r="F94" s="69">
        <f>F75/F93</f>
        <v>0.1325283557623668</v>
      </c>
      <c r="G94" s="70">
        <f>G75/G93</f>
        <v>0.1856968299711817</v>
      </c>
      <c r="H94" s="69">
        <f>H75/H93</f>
        <v>0.25251242179432654</v>
      </c>
      <c r="I94" s="69">
        <f>I75/I93</f>
        <v>0.31147469305654507</v>
      </c>
      <c r="J94" s="69">
        <f>J75/J93</f>
        <v>0.34730748263914302</v>
      </c>
      <c r="K94" s="69">
        <f>K75/K93</f>
        <v>0.36586604585128452</v>
      </c>
      <c r="L94" s="69">
        <f>L75/L93</f>
        <v>0.37045283420728675</v>
      </c>
    </row>
    <row r="96" spans="2:12" x14ac:dyDescent="0.2">
      <c r="B96" t="s">
        <v>86</v>
      </c>
      <c r="F96" s="85">
        <v>0.1</v>
      </c>
      <c r="G96" s="27">
        <f>F96</f>
        <v>0.1</v>
      </c>
      <c r="H96" s="27">
        <f t="shared" ref="H96:L96" si="24">G96</f>
        <v>0.1</v>
      </c>
      <c r="I96" s="27">
        <f t="shared" si="24"/>
        <v>0.1</v>
      </c>
      <c r="J96" s="27">
        <f t="shared" si="24"/>
        <v>0.1</v>
      </c>
      <c r="K96" s="27">
        <f t="shared" si="24"/>
        <v>0.1</v>
      </c>
      <c r="L96" s="27">
        <f t="shared" si="24"/>
        <v>0.1</v>
      </c>
    </row>
    <row r="97" spans="2:12" x14ac:dyDescent="0.2">
      <c r="F97" s="85"/>
      <c r="G97" s="27"/>
      <c r="H97" s="27"/>
      <c r="I97" s="27"/>
      <c r="J97" s="27"/>
      <c r="K97" s="27"/>
      <c r="L97" s="27"/>
    </row>
    <row r="98" spans="2:12" x14ac:dyDescent="0.2">
      <c r="B98" s="4" t="s">
        <v>87</v>
      </c>
      <c r="C98" s="4"/>
      <c r="D98" s="4"/>
      <c r="E98" s="4"/>
      <c r="F98" s="86">
        <f>F94-F96</f>
        <v>3.252835576236679E-2</v>
      </c>
      <c r="G98" s="86">
        <f t="shared" ref="G98:L98" si="25">G94-G96</f>
        <v>8.5696829971181693E-2</v>
      </c>
      <c r="H98" s="86">
        <f t="shared" si="25"/>
        <v>0.15251242179432653</v>
      </c>
      <c r="I98" s="86">
        <f t="shared" si="25"/>
        <v>0.21147469305654507</v>
      </c>
      <c r="J98" s="86">
        <f t="shared" si="25"/>
        <v>0.24730748263914301</v>
      </c>
      <c r="K98" s="86">
        <f t="shared" si="25"/>
        <v>0.26586604585128448</v>
      </c>
      <c r="L98" s="86">
        <f t="shared" si="25"/>
        <v>0.27045283420728672</v>
      </c>
    </row>
    <row r="99" spans="2:12" x14ac:dyDescent="0.2">
      <c r="F99" s="85"/>
      <c r="G99" s="27"/>
      <c r="H99" s="27"/>
      <c r="I99" s="27"/>
      <c r="J99" s="27"/>
      <c r="K99" s="27"/>
      <c r="L99" s="27"/>
    </row>
    <row r="101" spans="2:12" x14ac:dyDescent="0.2">
      <c r="B101" s="87" t="s">
        <v>88</v>
      </c>
      <c r="C101" s="87"/>
      <c r="D101" s="87"/>
      <c r="E101" s="87"/>
      <c r="F101" s="88">
        <f>F96*F93</f>
        <v>3.4700000000000006</v>
      </c>
      <c r="G101" s="88">
        <f t="shared" ref="G101:L101" si="26">G96*G93</f>
        <v>3.4700000000000006</v>
      </c>
      <c r="H101" s="88">
        <f t="shared" si="26"/>
        <v>3.2926000000000002</v>
      </c>
      <c r="I101" s="88">
        <f t="shared" si="26"/>
        <v>3.1777839999999999</v>
      </c>
      <c r="J101" s="88">
        <f t="shared" si="26"/>
        <v>3.2131593599999997</v>
      </c>
      <c r="K101" s="88">
        <f t="shared" si="26"/>
        <v>3.2941369344000004</v>
      </c>
      <c r="L101" s="88">
        <f t="shared" si="26"/>
        <v>3.3810633717759999</v>
      </c>
    </row>
    <row r="102" spans="2:12" x14ac:dyDescent="0.2">
      <c r="B102" s="6" t="s">
        <v>89</v>
      </c>
      <c r="C102" s="6"/>
      <c r="D102" s="6"/>
      <c r="E102" s="6"/>
      <c r="F102" s="89">
        <f>F75-F101</f>
        <v>1.1287339449541278</v>
      </c>
      <c r="G102" s="89">
        <f>G75-G101</f>
        <v>2.9736800000000052</v>
      </c>
      <c r="H102" s="89">
        <f t="shared" ref="H102:L102" si="27">H75-H101</f>
        <v>5.0216239999999956</v>
      </c>
      <c r="I102" s="89">
        <f t="shared" si="27"/>
        <v>6.7202089599999999</v>
      </c>
      <c r="J102" s="89">
        <f t="shared" si="27"/>
        <v>7.9463835263999973</v>
      </c>
      <c r="K102" s="89">
        <f t="shared" si="27"/>
        <v>8.7579916124160011</v>
      </c>
      <c r="L102" s="89">
        <f t="shared" si="27"/>
        <v>9.1441817153126443</v>
      </c>
    </row>
  </sheetData>
  <mergeCells count="5">
    <mergeCell ref="B27:L27"/>
    <mergeCell ref="B49:L49"/>
    <mergeCell ref="B70:L70"/>
    <mergeCell ref="B5:L5"/>
    <mergeCell ref="B90:L90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76467-1075-3D42-9790-0E8DDCDC168F}">
  <dimension ref="B3:N110"/>
  <sheetViews>
    <sheetView tabSelected="1" topLeftCell="A91" zoomScale="140" zoomScaleNormal="140" workbookViewId="0">
      <selection activeCell="N52" sqref="N52:N62"/>
    </sheetView>
  </sheetViews>
  <sheetFormatPr baseColWidth="10" defaultRowHeight="16" x14ac:dyDescent="0.2"/>
  <cols>
    <col min="2" max="2" width="32.1640625" bestFit="1" customWidth="1"/>
    <col min="3" max="3" width="0.1640625" customWidth="1"/>
    <col min="4" max="6" width="10.83203125" customWidth="1"/>
    <col min="7" max="7" width="10.83203125" style="24" customWidth="1"/>
    <col min="8" max="12" width="10.83203125" customWidth="1"/>
  </cols>
  <sheetData>
    <row r="3" spans="2:12" x14ac:dyDescent="0.2">
      <c r="D3" s="1"/>
      <c r="E3" s="1"/>
      <c r="F3" s="1"/>
      <c r="G3" s="23"/>
      <c r="H3" s="1"/>
      <c r="I3" s="1"/>
      <c r="J3" s="1"/>
      <c r="K3" s="1"/>
      <c r="L3" s="1"/>
    </row>
    <row r="5" spans="2:12" x14ac:dyDescent="0.2">
      <c r="B5" s="64" t="s">
        <v>80</v>
      </c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2:12" x14ac:dyDescent="0.2">
      <c r="D6" s="84" t="s">
        <v>84</v>
      </c>
      <c r="E6" s="84"/>
      <c r="F6" s="84"/>
      <c r="G6" s="84"/>
      <c r="H6" s="84" t="s">
        <v>85</v>
      </c>
      <c r="I6" s="84"/>
      <c r="J6" s="84"/>
      <c r="K6" s="84"/>
      <c r="L6" s="84"/>
    </row>
    <row r="7" spans="2:12" x14ac:dyDescent="0.2">
      <c r="B7" s="30"/>
      <c r="C7" s="31"/>
      <c r="D7" s="25" t="s">
        <v>3</v>
      </c>
      <c r="E7" s="25" t="s">
        <v>2</v>
      </c>
      <c r="F7" s="25" t="s">
        <v>1</v>
      </c>
      <c r="G7" s="45" t="s">
        <v>0</v>
      </c>
      <c r="H7" s="25" t="s">
        <v>61</v>
      </c>
      <c r="I7" s="25" t="s">
        <v>62</v>
      </c>
      <c r="J7" s="25" t="s">
        <v>63</v>
      </c>
      <c r="K7" s="25" t="s">
        <v>64</v>
      </c>
      <c r="L7" s="25" t="s">
        <v>65</v>
      </c>
    </row>
    <row r="8" spans="2:12" x14ac:dyDescent="0.2">
      <c r="B8" s="42" t="s">
        <v>4</v>
      </c>
      <c r="G8" s="46"/>
    </row>
    <row r="9" spans="2:12" x14ac:dyDescent="0.2">
      <c r="B9" s="32" t="s">
        <v>5</v>
      </c>
      <c r="C9" s="24"/>
      <c r="D9" s="26">
        <v>0.01</v>
      </c>
      <c r="E9" s="26">
        <v>0.1</v>
      </c>
      <c r="F9" s="26">
        <v>-0.06</v>
      </c>
      <c r="G9" s="47">
        <v>0.09</v>
      </c>
      <c r="H9" s="77">
        <v>0.04</v>
      </c>
      <c r="I9" s="78">
        <v>0.05</v>
      </c>
      <c r="J9" s="78">
        <f t="shared" ref="J9:L9" si="0">I9</f>
        <v>0.05</v>
      </c>
      <c r="K9" s="78">
        <f t="shared" si="0"/>
        <v>0.05</v>
      </c>
      <c r="L9" s="78">
        <f t="shared" si="0"/>
        <v>0.05</v>
      </c>
    </row>
    <row r="10" spans="2:12" x14ac:dyDescent="0.2">
      <c r="B10" s="32" t="s">
        <v>58</v>
      </c>
      <c r="C10" s="24"/>
      <c r="D10" s="26">
        <v>0.51</v>
      </c>
      <c r="E10" s="26">
        <v>0.53</v>
      </c>
      <c r="F10" s="26">
        <v>0.55000000000000004</v>
      </c>
      <c r="G10" s="47">
        <v>0.56000000000000005</v>
      </c>
      <c r="H10" s="33">
        <v>0.56999999999999995</v>
      </c>
      <c r="I10" s="78">
        <v>0.57999999999999996</v>
      </c>
      <c r="J10" s="78">
        <v>0.59</v>
      </c>
      <c r="K10" s="78">
        <v>0.59</v>
      </c>
      <c r="L10" s="78">
        <v>0.59</v>
      </c>
    </row>
    <row r="11" spans="2:12" x14ac:dyDescent="0.2">
      <c r="B11" s="35"/>
      <c r="C11" s="35"/>
      <c r="D11" s="43"/>
      <c r="E11" s="43"/>
      <c r="F11" s="43"/>
      <c r="G11" s="48"/>
      <c r="H11" s="43"/>
      <c r="I11" s="43"/>
      <c r="J11" s="44"/>
      <c r="K11" s="44"/>
      <c r="L11" s="44"/>
    </row>
    <row r="12" spans="2:12" x14ac:dyDescent="0.2">
      <c r="B12" s="36" t="s">
        <v>59</v>
      </c>
      <c r="C12" s="35"/>
      <c r="D12" s="37">
        <v>0.39</v>
      </c>
      <c r="E12" s="37">
        <v>0.38</v>
      </c>
      <c r="F12" s="37">
        <v>0.37</v>
      </c>
      <c r="G12" s="47">
        <v>0.37</v>
      </c>
      <c r="H12" s="81">
        <v>0.37</v>
      </c>
      <c r="I12" s="79">
        <v>0.35499999999999998</v>
      </c>
      <c r="J12" s="80">
        <v>0.35</v>
      </c>
      <c r="K12" s="80">
        <v>0.34499999999999997</v>
      </c>
      <c r="L12" s="80">
        <v>0.34</v>
      </c>
    </row>
    <row r="13" spans="2:12" x14ac:dyDescent="0.2">
      <c r="B13" s="36" t="s">
        <v>6</v>
      </c>
      <c r="C13" s="35"/>
      <c r="D13" s="37">
        <v>0.1</v>
      </c>
      <c r="E13" s="37">
        <v>0.11</v>
      </c>
      <c r="F13" s="37">
        <v>0.105</v>
      </c>
      <c r="G13" s="47">
        <v>0.1</v>
      </c>
      <c r="H13" s="82">
        <v>0.12</v>
      </c>
      <c r="I13" s="37">
        <v>0.09</v>
      </c>
      <c r="J13" s="26">
        <v>0.09</v>
      </c>
      <c r="K13" s="26">
        <v>0.09</v>
      </c>
      <c r="L13" s="26">
        <v>0.09</v>
      </c>
    </row>
    <row r="14" spans="2:12" x14ac:dyDescent="0.2">
      <c r="B14" s="36" t="s">
        <v>51</v>
      </c>
      <c r="C14" s="35"/>
      <c r="D14" s="37">
        <v>0.03</v>
      </c>
      <c r="E14" s="37">
        <v>0.03</v>
      </c>
      <c r="F14" s="37">
        <v>0.03</v>
      </c>
      <c r="G14" s="47">
        <v>0.03</v>
      </c>
      <c r="H14" s="37">
        <v>0.03</v>
      </c>
      <c r="I14" s="37">
        <v>0.03</v>
      </c>
      <c r="J14" s="26">
        <v>0.03</v>
      </c>
      <c r="K14" s="26">
        <v>0.03</v>
      </c>
      <c r="L14" s="26">
        <v>0.03</v>
      </c>
    </row>
    <row r="15" spans="2:12" x14ac:dyDescent="0.2">
      <c r="B15" s="36" t="s">
        <v>57</v>
      </c>
      <c r="C15" s="35"/>
      <c r="D15" s="38">
        <v>0.218</v>
      </c>
      <c r="E15" s="38">
        <v>0.218</v>
      </c>
      <c r="F15" s="38">
        <v>0.218</v>
      </c>
      <c r="G15" s="49">
        <v>0.218</v>
      </c>
      <c r="H15" s="79">
        <v>0.17</v>
      </c>
      <c r="I15" s="79">
        <v>0.17</v>
      </c>
      <c r="J15" s="79">
        <v>0.17</v>
      </c>
      <c r="K15" s="79">
        <v>0.17</v>
      </c>
      <c r="L15" s="79">
        <v>0.17</v>
      </c>
    </row>
    <row r="16" spans="2:12" x14ac:dyDescent="0.2">
      <c r="B16" s="35"/>
      <c r="C16" s="39"/>
      <c r="D16" s="43"/>
      <c r="E16" s="43"/>
      <c r="F16" s="43"/>
      <c r="G16" s="48"/>
      <c r="H16" s="43"/>
      <c r="I16" s="43"/>
      <c r="J16" s="44"/>
      <c r="K16" s="44"/>
      <c r="L16" s="44"/>
    </row>
    <row r="17" spans="2:12" x14ac:dyDescent="0.2">
      <c r="B17" s="42" t="s">
        <v>7</v>
      </c>
      <c r="C17" s="39"/>
      <c r="D17" s="43"/>
      <c r="E17" s="43"/>
      <c r="F17" s="43"/>
      <c r="G17" s="48"/>
      <c r="H17" s="43"/>
      <c r="I17" s="43"/>
      <c r="J17" s="44"/>
      <c r="K17" s="44"/>
      <c r="L17" s="44"/>
    </row>
    <row r="18" spans="2:12" x14ac:dyDescent="0.2">
      <c r="B18" s="36" t="s">
        <v>8</v>
      </c>
      <c r="C18" s="35"/>
      <c r="D18" s="37">
        <v>0.11165488845584491</v>
      </c>
      <c r="E18" s="37">
        <v>0.11049478418677731</v>
      </c>
      <c r="F18" s="37">
        <v>9.2460480596515141E-2</v>
      </c>
      <c r="G18" s="50">
        <v>0.09</v>
      </c>
      <c r="H18" s="38">
        <v>0.08</v>
      </c>
      <c r="I18" s="38">
        <v>0.08</v>
      </c>
      <c r="J18" s="34">
        <v>0.08</v>
      </c>
      <c r="K18" s="34">
        <v>0.08</v>
      </c>
      <c r="L18" s="34">
        <v>0.08</v>
      </c>
    </row>
    <row r="19" spans="2:12" x14ac:dyDescent="0.2">
      <c r="B19" s="36" t="s">
        <v>9</v>
      </c>
      <c r="C19" s="39"/>
      <c r="D19" s="37">
        <v>0.41199954129596839</v>
      </c>
      <c r="E19" s="37">
        <v>0.36965059863406818</v>
      </c>
      <c r="F19" s="37">
        <v>0.38181170509735674</v>
      </c>
      <c r="G19" s="51">
        <v>0.36</v>
      </c>
      <c r="H19" s="83">
        <v>0.35</v>
      </c>
      <c r="I19" s="83">
        <v>0.34</v>
      </c>
      <c r="J19" s="83">
        <v>0.33</v>
      </c>
      <c r="K19" s="83">
        <v>0.33</v>
      </c>
      <c r="L19" s="83">
        <v>0.33</v>
      </c>
    </row>
    <row r="20" spans="2:12" x14ac:dyDescent="0.2">
      <c r="B20" s="36" t="s">
        <v>10</v>
      </c>
      <c r="C20" s="39"/>
      <c r="D20" s="37">
        <v>0.3</v>
      </c>
      <c r="E20" s="37">
        <v>0.28293916919694173</v>
      </c>
      <c r="F20" s="37">
        <v>0.24909645959974558</v>
      </c>
      <c r="G20" s="47">
        <v>0.26</v>
      </c>
      <c r="H20" s="37">
        <v>0.28000000000000003</v>
      </c>
      <c r="I20" s="37">
        <v>0.28000000000000003</v>
      </c>
      <c r="J20" s="37">
        <v>0.28000000000000003</v>
      </c>
      <c r="K20" s="37">
        <v>0.28000000000000003</v>
      </c>
      <c r="L20" s="37">
        <v>0.28000000000000003</v>
      </c>
    </row>
    <row r="21" spans="2:12" x14ac:dyDescent="0.2">
      <c r="B21" s="35"/>
      <c r="C21" s="39"/>
      <c r="D21" s="43"/>
      <c r="E21" s="43"/>
      <c r="F21" s="43"/>
      <c r="G21" s="48"/>
      <c r="H21" s="43"/>
      <c r="I21" s="43"/>
      <c r="J21" s="43"/>
      <c r="K21" s="43"/>
      <c r="L21" s="43"/>
    </row>
    <row r="22" spans="2:12" x14ac:dyDescent="0.2">
      <c r="B22" s="36" t="s">
        <v>11</v>
      </c>
      <c r="C22" s="35"/>
      <c r="D22" s="38">
        <v>0.02</v>
      </c>
      <c r="E22" s="38">
        <v>0.02</v>
      </c>
      <c r="F22" s="38">
        <v>0.02</v>
      </c>
      <c r="G22" s="49">
        <v>0.01</v>
      </c>
      <c r="H22" s="81">
        <v>1.4999999999999999E-2</v>
      </c>
      <c r="I22" s="81">
        <f>H22</f>
        <v>1.4999999999999999E-2</v>
      </c>
      <c r="J22" s="81">
        <f t="shared" ref="J22:L22" si="1">I22</f>
        <v>1.4999999999999999E-2</v>
      </c>
      <c r="K22" s="81">
        <f t="shared" si="1"/>
        <v>1.4999999999999999E-2</v>
      </c>
      <c r="L22" s="81">
        <f t="shared" si="1"/>
        <v>1.4999999999999999E-2</v>
      </c>
    </row>
    <row r="23" spans="2:12" x14ac:dyDescent="0.2">
      <c r="B23" s="36" t="s">
        <v>12</v>
      </c>
      <c r="C23" s="35"/>
      <c r="D23" s="43">
        <v>0.2</v>
      </c>
      <c r="E23" s="43">
        <v>0.2</v>
      </c>
      <c r="F23" s="43">
        <v>0.2</v>
      </c>
      <c r="G23" s="48">
        <v>0.2</v>
      </c>
      <c r="H23" s="43">
        <f t="shared" ref="H23:L23" si="2">G23</f>
        <v>0.2</v>
      </c>
      <c r="I23" s="43">
        <f t="shared" si="2"/>
        <v>0.2</v>
      </c>
      <c r="J23" s="43">
        <f t="shared" si="2"/>
        <v>0.2</v>
      </c>
      <c r="K23" s="43">
        <f t="shared" si="2"/>
        <v>0.2</v>
      </c>
      <c r="L23" s="43">
        <f t="shared" si="2"/>
        <v>0.2</v>
      </c>
    </row>
    <row r="24" spans="2:12" x14ac:dyDescent="0.2">
      <c r="B24" s="41" t="s">
        <v>60</v>
      </c>
      <c r="C24" s="18"/>
      <c r="D24" s="18"/>
      <c r="E24" s="18"/>
      <c r="F24" s="18"/>
      <c r="G24" s="52"/>
      <c r="H24" s="18"/>
      <c r="I24" s="18"/>
      <c r="J24" s="18"/>
      <c r="K24" s="18"/>
      <c r="L24" s="18"/>
    </row>
    <row r="27" spans="2:12" x14ac:dyDescent="0.2">
      <c r="B27" s="64" t="s">
        <v>66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</row>
    <row r="29" spans="2:12" x14ac:dyDescent="0.2">
      <c r="B29" s="4"/>
      <c r="C29" s="4"/>
      <c r="D29" s="25" t="s">
        <v>3</v>
      </c>
      <c r="E29" s="25" t="s">
        <v>2</v>
      </c>
      <c r="F29" s="25" t="s">
        <v>1</v>
      </c>
      <c r="G29" s="45" t="s">
        <v>0</v>
      </c>
      <c r="H29" s="25" t="s">
        <v>74</v>
      </c>
      <c r="I29" s="25" t="s">
        <v>75</v>
      </c>
      <c r="J29" s="25" t="s">
        <v>76</v>
      </c>
      <c r="K29" s="25" t="s">
        <v>77</v>
      </c>
      <c r="L29" s="25" t="s">
        <v>78</v>
      </c>
    </row>
    <row r="30" spans="2:12" x14ac:dyDescent="0.2">
      <c r="B30" s="15" t="s">
        <v>13</v>
      </c>
      <c r="C30" s="15"/>
      <c r="D30" s="14">
        <f t="shared" ref="D30:E30" si="3">E30/(1+E9)</f>
        <v>88.72642095363156</v>
      </c>
      <c r="E30" s="14">
        <f t="shared" si="3"/>
        <v>97.599063048994722</v>
      </c>
      <c r="F30" s="14">
        <f>G30/(1+G9)</f>
        <v>91.743119266055032</v>
      </c>
      <c r="G30" s="53">
        <v>100</v>
      </c>
      <c r="H30" s="14">
        <f>150*(1+H9)</f>
        <v>156</v>
      </c>
      <c r="I30" s="14">
        <f t="shared" ref="I30:L30" si="4">H30*(1+I9)</f>
        <v>163.80000000000001</v>
      </c>
      <c r="J30" s="14">
        <f t="shared" si="4"/>
        <v>171.99</v>
      </c>
      <c r="K30" s="14">
        <f t="shared" si="4"/>
        <v>180.58950000000002</v>
      </c>
      <c r="L30" s="14">
        <f t="shared" si="4"/>
        <v>189.61897500000003</v>
      </c>
    </row>
    <row r="31" spans="2:12" x14ac:dyDescent="0.2">
      <c r="B31" s="2" t="s">
        <v>14</v>
      </c>
      <c r="D31" s="13">
        <f>D30*(1-D10)</f>
        <v>43.475946267279461</v>
      </c>
      <c r="E31" s="13">
        <f t="shared" ref="E31:L31" si="5">E30*(1-E10)</f>
        <v>45.871559633027516</v>
      </c>
      <c r="F31" s="13">
        <f t="shared" si="5"/>
        <v>41.28440366972476</v>
      </c>
      <c r="G31" s="54">
        <f t="shared" si="5"/>
        <v>43.999999999999993</v>
      </c>
      <c r="H31" s="13">
        <f t="shared" si="5"/>
        <v>67.080000000000013</v>
      </c>
      <c r="I31" s="13">
        <f t="shared" si="5"/>
        <v>68.796000000000006</v>
      </c>
      <c r="J31" s="13">
        <f t="shared" si="5"/>
        <v>70.515900000000002</v>
      </c>
      <c r="K31" s="13">
        <f t="shared" si="5"/>
        <v>74.041695000000018</v>
      </c>
      <c r="L31" s="13">
        <f t="shared" si="5"/>
        <v>77.743779750000016</v>
      </c>
    </row>
    <row r="32" spans="2:12" x14ac:dyDescent="0.2">
      <c r="B32" s="5" t="s">
        <v>15</v>
      </c>
      <c r="C32" s="5"/>
      <c r="D32" s="17">
        <f>D30-D31</f>
        <v>45.250474686352099</v>
      </c>
      <c r="E32" s="17">
        <f t="shared" ref="E32:L32" si="6">E30-E31</f>
        <v>51.727503415967206</v>
      </c>
      <c r="F32" s="17">
        <f t="shared" si="6"/>
        <v>50.458715596330272</v>
      </c>
      <c r="G32" s="55">
        <f t="shared" si="6"/>
        <v>56.000000000000007</v>
      </c>
      <c r="H32" s="17">
        <f t="shared" si="6"/>
        <v>88.919999999999987</v>
      </c>
      <c r="I32" s="17">
        <f t="shared" si="6"/>
        <v>95.004000000000005</v>
      </c>
      <c r="J32" s="17">
        <f t="shared" si="6"/>
        <v>101.47410000000001</v>
      </c>
      <c r="K32" s="17">
        <f t="shared" si="6"/>
        <v>106.547805</v>
      </c>
      <c r="L32" s="17">
        <f t="shared" si="6"/>
        <v>111.87519525000002</v>
      </c>
    </row>
    <row r="33" spans="2:14" x14ac:dyDescent="0.2">
      <c r="B33" s="18"/>
      <c r="C33" s="18"/>
      <c r="D33" s="58">
        <f>D32/D30</f>
        <v>0.51</v>
      </c>
      <c r="E33" s="58">
        <f t="shared" ref="E33:L33" si="7">E32/E30</f>
        <v>0.53</v>
      </c>
      <c r="F33" s="58">
        <f t="shared" si="7"/>
        <v>0.55000000000000004</v>
      </c>
      <c r="G33" s="59">
        <f t="shared" si="7"/>
        <v>0.56000000000000005</v>
      </c>
      <c r="H33" s="58">
        <f t="shared" si="7"/>
        <v>0.56999999999999995</v>
      </c>
      <c r="I33" s="58">
        <f t="shared" si="7"/>
        <v>0.57999999999999996</v>
      </c>
      <c r="J33" s="58">
        <f t="shared" si="7"/>
        <v>0.59</v>
      </c>
      <c r="K33" s="58">
        <f t="shared" si="7"/>
        <v>0.59</v>
      </c>
      <c r="L33" s="58">
        <f t="shared" si="7"/>
        <v>0.59</v>
      </c>
    </row>
    <row r="34" spans="2:14" x14ac:dyDescent="0.2">
      <c r="B34" s="2" t="s">
        <v>16</v>
      </c>
      <c r="D34" s="13">
        <f>D30*D12</f>
        <v>34.603304171916307</v>
      </c>
      <c r="E34" s="13">
        <f>E30*E12</f>
        <v>37.087643958617996</v>
      </c>
      <c r="F34" s="13">
        <f>F30*F12</f>
        <v>33.944954128440365</v>
      </c>
      <c r="G34" s="54">
        <f>G30*G12</f>
        <v>37</v>
      </c>
      <c r="H34" s="13">
        <f>H30*H12</f>
        <v>57.72</v>
      </c>
      <c r="I34" s="13">
        <f>I30*I12</f>
        <v>58.149000000000001</v>
      </c>
      <c r="J34" s="13">
        <f>J30*J12</f>
        <v>60.1965</v>
      </c>
      <c r="K34" s="13">
        <f>K30*K12</f>
        <v>62.303377500000003</v>
      </c>
      <c r="L34" s="13">
        <f>L30*L12</f>
        <v>64.47045150000001</v>
      </c>
    </row>
    <row r="35" spans="2:14" x14ac:dyDescent="0.2">
      <c r="B35" s="5" t="s">
        <v>17</v>
      </c>
      <c r="C35" s="5"/>
      <c r="D35" s="17">
        <f>D32-D34</f>
        <v>10.647170514435793</v>
      </c>
      <c r="E35" s="17">
        <f>E32-E34</f>
        <v>14.63985945734921</v>
      </c>
      <c r="F35" s="17">
        <f>F32-F34</f>
        <v>16.513761467889907</v>
      </c>
      <c r="G35" s="55">
        <f>G32-G34</f>
        <v>19.000000000000007</v>
      </c>
      <c r="H35" s="17">
        <f>H32-H34</f>
        <v>31.199999999999989</v>
      </c>
      <c r="I35" s="17">
        <f>I32-I34</f>
        <v>36.855000000000004</v>
      </c>
      <c r="J35" s="17">
        <f>J32-J34</f>
        <v>41.277600000000007</v>
      </c>
      <c r="K35" s="17">
        <f>K32-K34</f>
        <v>44.244427499999993</v>
      </c>
      <c r="L35" s="17">
        <f>L32-L34</f>
        <v>47.404743750000009</v>
      </c>
    </row>
    <row r="36" spans="2:14" x14ac:dyDescent="0.2">
      <c r="B36" s="18"/>
      <c r="C36" s="18"/>
      <c r="D36" s="58">
        <f>D35/D30</f>
        <v>0.12000000000000006</v>
      </c>
      <c r="E36" s="58">
        <f>E35/E30</f>
        <v>0.15000000000000002</v>
      </c>
      <c r="F36" s="58">
        <f>F35/F30</f>
        <v>0.18000000000000002</v>
      </c>
      <c r="G36" s="59">
        <f>G35/G30</f>
        <v>0.19000000000000006</v>
      </c>
      <c r="H36" s="58">
        <f>H35/H30</f>
        <v>0.19999999999999993</v>
      </c>
      <c r="I36" s="58">
        <f>I35/I30</f>
        <v>0.22500000000000001</v>
      </c>
      <c r="J36" s="58">
        <f>J35/J30</f>
        <v>0.24000000000000002</v>
      </c>
      <c r="K36" s="58">
        <f>K35/K30</f>
        <v>0.24499999999999994</v>
      </c>
      <c r="L36" s="58">
        <f>L35/L30</f>
        <v>0.25</v>
      </c>
    </row>
    <row r="37" spans="2:14" x14ac:dyDescent="0.2">
      <c r="B37" s="2" t="s">
        <v>18</v>
      </c>
      <c r="D37" s="11">
        <f>D30*D13</f>
        <v>8.8726420953631564</v>
      </c>
      <c r="E37" s="11">
        <f>E30*E13</f>
        <v>10.73589693538942</v>
      </c>
      <c r="F37" s="11">
        <f>F30*F13</f>
        <v>9.6330275229357785</v>
      </c>
      <c r="G37" s="56">
        <f>G30*G13</f>
        <v>10</v>
      </c>
      <c r="H37" s="11">
        <f>H30*H13</f>
        <v>18.72</v>
      </c>
      <c r="I37" s="11">
        <f>I30*I13</f>
        <v>14.742000000000001</v>
      </c>
      <c r="J37" s="11">
        <f>J30*J13</f>
        <v>15.479100000000001</v>
      </c>
      <c r="K37" s="11">
        <f>K30*K13</f>
        <v>16.253055</v>
      </c>
      <c r="L37" s="11">
        <f>L30*L13</f>
        <v>17.065707750000001</v>
      </c>
    </row>
    <row r="38" spans="2:14" x14ac:dyDescent="0.2">
      <c r="B38" s="5" t="s">
        <v>19</v>
      </c>
      <c r="C38" s="5"/>
      <c r="D38" s="17">
        <f>D35-D37</f>
        <v>1.7745284190726363</v>
      </c>
      <c r="E38" s="17">
        <f>E35-E37</f>
        <v>3.9039625219597909</v>
      </c>
      <c r="F38" s="17">
        <f>F35-F37</f>
        <v>6.8807339449541285</v>
      </c>
      <c r="G38" s="55">
        <f>G35-G37</f>
        <v>9.0000000000000071</v>
      </c>
      <c r="H38" s="17">
        <f>H35-H37</f>
        <v>12.47999999999999</v>
      </c>
      <c r="I38" s="17">
        <f>I35-I37</f>
        <v>22.113000000000003</v>
      </c>
      <c r="J38" s="17">
        <f>J35-J37</f>
        <v>25.798500000000004</v>
      </c>
      <c r="K38" s="17">
        <f>K35-K37</f>
        <v>27.991372499999994</v>
      </c>
      <c r="L38" s="17">
        <f>L35-L37</f>
        <v>30.339036000000007</v>
      </c>
    </row>
    <row r="39" spans="2:14" x14ac:dyDescent="0.2">
      <c r="B39" s="18"/>
      <c r="C39" s="18"/>
      <c r="D39" s="60">
        <f>D38/D30</f>
        <v>2.0000000000000056E-2</v>
      </c>
      <c r="E39" s="60">
        <f>E38/E30</f>
        <v>4.0000000000000022E-2</v>
      </c>
      <c r="F39" s="60">
        <f>F38/F30</f>
        <v>7.5000000000000011E-2</v>
      </c>
      <c r="G39" s="61">
        <f>G38/G30</f>
        <v>9.0000000000000066E-2</v>
      </c>
      <c r="H39" s="60">
        <f>H38/H30</f>
        <v>7.9999999999999932E-2</v>
      </c>
      <c r="I39" s="60">
        <f>I38/I30</f>
        <v>0.13500000000000001</v>
      </c>
      <c r="J39" s="60">
        <f>J38/J30</f>
        <v>0.15000000000000002</v>
      </c>
      <c r="K39" s="60">
        <f>K38/K30</f>
        <v>0.15499999999999994</v>
      </c>
      <c r="L39" s="60">
        <f>L38/L30</f>
        <v>0.16</v>
      </c>
    </row>
    <row r="40" spans="2:14" x14ac:dyDescent="0.2">
      <c r="B40" s="2" t="s">
        <v>81</v>
      </c>
      <c r="D40" s="10">
        <v>0.9</v>
      </c>
      <c r="E40" s="10">
        <v>1.1100000000000001</v>
      </c>
      <c r="F40" s="10">
        <v>1</v>
      </c>
      <c r="G40" s="57">
        <f>(F56+G82)*G23</f>
        <v>0.76</v>
      </c>
      <c r="H40" s="10">
        <f>(G56+H82)*H23</f>
        <v>1.6680000000000001</v>
      </c>
      <c r="I40" s="10">
        <f>(H56+I82)*I23</f>
        <v>1.8258000000000001</v>
      </c>
      <c r="J40" s="10">
        <f>(I56+J82)*J23</f>
        <v>1.97661</v>
      </c>
      <c r="K40" s="10">
        <f>(J56+K82)*K23</f>
        <v>2.1230565000000001</v>
      </c>
      <c r="L40" s="10">
        <f>(K56+L82)*L23</f>
        <v>2.2673021250000001</v>
      </c>
      <c r="N40" s="10"/>
    </row>
    <row r="41" spans="2:14" x14ac:dyDescent="0.2">
      <c r="B41" s="2" t="s">
        <v>82</v>
      </c>
      <c r="D41" s="10"/>
      <c r="E41" s="10"/>
      <c r="F41" s="10"/>
      <c r="G41" s="57"/>
      <c r="H41" s="10">
        <f>G57-H57</f>
        <v>3</v>
      </c>
      <c r="I41" s="10">
        <f t="shared" ref="I41:L41" si="8">H57-I57</f>
        <v>3</v>
      </c>
      <c r="J41" s="10">
        <f t="shared" si="8"/>
        <v>3</v>
      </c>
      <c r="K41" s="10">
        <f t="shared" si="8"/>
        <v>3</v>
      </c>
      <c r="L41" s="10">
        <f t="shared" si="8"/>
        <v>3</v>
      </c>
      <c r="N41" s="10"/>
    </row>
    <row r="42" spans="2:14" x14ac:dyDescent="0.2">
      <c r="B42" s="5" t="s">
        <v>50</v>
      </c>
      <c r="C42" s="5"/>
      <c r="D42" s="17">
        <f>D38-D40</f>
        <v>0.87452841907263623</v>
      </c>
      <c r="E42" s="17">
        <f>E38-E40</f>
        <v>2.7939625219597906</v>
      </c>
      <c r="F42" s="17">
        <f>F38-F40</f>
        <v>5.8807339449541285</v>
      </c>
      <c r="G42" s="55">
        <f>G38-G40</f>
        <v>8.2400000000000073</v>
      </c>
      <c r="H42" s="17">
        <f>H38-H40-H41</f>
        <v>7.8119999999999905</v>
      </c>
      <c r="I42" s="17">
        <f t="shared" ref="I42:L42" si="9">I38-I40-I41</f>
        <v>17.287200000000002</v>
      </c>
      <c r="J42" s="17">
        <f t="shared" si="9"/>
        <v>20.821890000000003</v>
      </c>
      <c r="K42" s="17">
        <f t="shared" si="9"/>
        <v>22.868315999999993</v>
      </c>
      <c r="L42" s="17">
        <f t="shared" si="9"/>
        <v>25.071733875000007</v>
      </c>
    </row>
    <row r="43" spans="2:14" s="3" customFormat="1" x14ac:dyDescent="0.2">
      <c r="B43" s="22"/>
      <c r="C43" s="22"/>
      <c r="D43" s="58">
        <f>D42/D30</f>
        <v>9.8564600000000547E-3</v>
      </c>
      <c r="E43" s="58">
        <f>E42/E30</f>
        <v>2.8626940000000017E-2</v>
      </c>
      <c r="F43" s="58">
        <f>F42/F30</f>
        <v>6.4100000000000004E-2</v>
      </c>
      <c r="G43" s="59">
        <f>G42/G30</f>
        <v>8.240000000000007E-2</v>
      </c>
      <c r="H43" s="58">
        <f>H42/H30</f>
        <v>5.0076923076923019E-2</v>
      </c>
      <c r="I43" s="58">
        <f>I42/I30</f>
        <v>0.10553846153846154</v>
      </c>
      <c r="J43" s="58">
        <f>J42/J30</f>
        <v>0.12106453863596722</v>
      </c>
      <c r="K43" s="58">
        <f>K42/K30</f>
        <v>0.12663148189678797</v>
      </c>
      <c r="L43" s="58">
        <f>L42/L30</f>
        <v>0.13222165068132027</v>
      </c>
    </row>
    <row r="44" spans="2:14" x14ac:dyDescent="0.2">
      <c r="B44" s="2" t="s">
        <v>52</v>
      </c>
      <c r="D44" s="11">
        <f>10*D14</f>
        <v>0.3</v>
      </c>
      <c r="E44" s="11">
        <f>D62*E14</f>
        <v>0.24</v>
      </c>
      <c r="F44" s="11">
        <f>E62*F14</f>
        <v>0.21</v>
      </c>
      <c r="G44" s="56">
        <f>F62*G14</f>
        <v>0.18</v>
      </c>
      <c r="H44" s="11">
        <f>G62*H14</f>
        <v>0.18</v>
      </c>
      <c r="I44" s="11">
        <f>H62*I14</f>
        <v>0.12</v>
      </c>
      <c r="J44" s="11">
        <f>I62*J14</f>
        <v>0.12</v>
      </c>
      <c r="K44" s="11">
        <f>J62*K14</f>
        <v>0.12</v>
      </c>
      <c r="L44" s="11">
        <f>K62*L14</f>
        <v>0.12</v>
      </c>
    </row>
    <row r="45" spans="2:14" x14ac:dyDescent="0.2">
      <c r="B45" s="2" t="s">
        <v>53</v>
      </c>
      <c r="D45" s="11">
        <f>(D42-D44)*D15</f>
        <v>0.12524719535783471</v>
      </c>
      <c r="E45" s="11">
        <f>(E42-E44)*E15</f>
        <v>0.55676382978723427</v>
      </c>
      <c r="F45" s="11">
        <f>(F42-F44)*F15</f>
        <v>1.2362200000000001</v>
      </c>
      <c r="G45" s="56">
        <f>(G42-G44)*G15</f>
        <v>1.7570800000000018</v>
      </c>
      <c r="H45" s="11">
        <f>(H42-H44)*H15</f>
        <v>1.2974399999999986</v>
      </c>
      <c r="I45" s="11">
        <f>(I42-I44)*I15</f>
        <v>2.9184240000000004</v>
      </c>
      <c r="J45" s="11">
        <f>(J42-J44)*J15</f>
        <v>3.5193213000000005</v>
      </c>
      <c r="K45" s="11">
        <f>(K42-K44)*K15</f>
        <v>3.8672137199999987</v>
      </c>
      <c r="L45" s="11">
        <f>(L42-L44)*L15</f>
        <v>4.2417947587500011</v>
      </c>
    </row>
    <row r="46" spans="2:14" s="7" customFormat="1" x14ac:dyDescent="0.2">
      <c r="B46" s="5" t="s">
        <v>34</v>
      </c>
      <c r="C46" s="5"/>
      <c r="D46" s="17">
        <f>D42-D44-D45</f>
        <v>0.44928122371480161</v>
      </c>
      <c r="E46" s="17">
        <f>E42-E44-E45</f>
        <v>1.9971986921725562</v>
      </c>
      <c r="F46" s="17">
        <f>F42-F44-F45</f>
        <v>4.4345139449541282</v>
      </c>
      <c r="G46" s="55">
        <f>G42-G44-G45</f>
        <v>6.3029200000000056</v>
      </c>
      <c r="H46" s="17">
        <f>H42-H44-H45</f>
        <v>6.3345599999999926</v>
      </c>
      <c r="I46" s="17">
        <f>I42-I44-I45</f>
        <v>14.248776000000001</v>
      </c>
      <c r="J46" s="17">
        <f>J42-J44-J45</f>
        <v>17.182568700000001</v>
      </c>
      <c r="K46" s="17">
        <f>K42-K44-K45</f>
        <v>18.881102279999993</v>
      </c>
      <c r="L46" s="17">
        <f>L42-L44-L45</f>
        <v>20.709939116250005</v>
      </c>
    </row>
    <row r="47" spans="2:14" s="3" customFormat="1" x14ac:dyDescent="0.2">
      <c r="B47" s="22"/>
      <c r="C47" s="22"/>
      <c r="D47" s="58">
        <f>D46/D30</f>
        <v>5.0636689600000433E-3</v>
      </c>
      <c r="E47" s="58">
        <f>E46/E30</f>
        <v>2.0463297800000012E-2</v>
      </c>
      <c r="F47" s="58">
        <f>F46/F30</f>
        <v>4.8336202000000002E-2</v>
      </c>
      <c r="G47" s="59">
        <f>G46/G30</f>
        <v>6.3029200000000063E-2</v>
      </c>
      <c r="H47" s="58">
        <f>H46/H30</f>
        <v>4.0606153846153799E-2</v>
      </c>
      <c r="I47" s="58">
        <f>I46/I30</f>
        <v>8.6988864468864474E-2</v>
      </c>
      <c r="J47" s="58">
        <f>J46/J30</f>
        <v>9.9904463631606488E-2</v>
      </c>
      <c r="K47" s="58">
        <f>K46/K30</f>
        <v>0.10455260289219469</v>
      </c>
      <c r="L47" s="58">
        <f>L46/L30</f>
        <v>0.10921870617774408</v>
      </c>
    </row>
    <row r="49" spans="2:14" x14ac:dyDescent="0.2">
      <c r="E49" s="11"/>
      <c r="F49" s="11"/>
      <c r="G49" s="29"/>
      <c r="H49" s="11"/>
      <c r="I49" s="11"/>
      <c r="J49" s="11"/>
      <c r="K49" s="11"/>
      <c r="L49" s="11"/>
    </row>
    <row r="50" spans="2:14" x14ac:dyDescent="0.2">
      <c r="B50" s="64" t="s">
        <v>67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</row>
    <row r="52" spans="2:14" x14ac:dyDescent="0.2">
      <c r="B52" s="4"/>
      <c r="C52" s="4"/>
      <c r="D52" s="25" t="s">
        <v>3</v>
      </c>
      <c r="E52" s="25" t="s">
        <v>2</v>
      </c>
      <c r="F52" s="25" t="s">
        <v>1</v>
      </c>
      <c r="G52" s="45" t="s">
        <v>73</v>
      </c>
      <c r="H52" s="25" t="s">
        <v>74</v>
      </c>
      <c r="I52" s="25" t="s">
        <v>75</v>
      </c>
      <c r="J52" s="25" t="s">
        <v>76</v>
      </c>
      <c r="K52" s="25" t="s">
        <v>77</v>
      </c>
      <c r="L52" s="25" t="s">
        <v>78</v>
      </c>
      <c r="N52" s="75" t="s">
        <v>79</v>
      </c>
    </row>
    <row r="53" spans="2:14" x14ac:dyDescent="0.2">
      <c r="B53" t="s">
        <v>47</v>
      </c>
      <c r="D53" s="11">
        <v>0</v>
      </c>
      <c r="E53" s="11">
        <v>0</v>
      </c>
      <c r="F53" s="11">
        <v>0</v>
      </c>
      <c r="G53" s="56">
        <f>F53+G89</f>
        <v>-33.337079999999993</v>
      </c>
      <c r="H53" s="11">
        <f>G53+H89</f>
        <v>-22.054519999999997</v>
      </c>
      <c r="I53" s="11">
        <f t="shared" ref="I53:L53" si="10">H53+I89</f>
        <v>-4.9609440000000014</v>
      </c>
      <c r="J53" s="11">
        <f t="shared" si="10"/>
        <v>0</v>
      </c>
      <c r="K53" s="11">
        <f t="shared" si="10"/>
        <v>0</v>
      </c>
      <c r="L53" s="11">
        <f t="shared" si="10"/>
        <v>0</v>
      </c>
    </row>
    <row r="54" spans="2:14" x14ac:dyDescent="0.2">
      <c r="B54" t="s">
        <v>20</v>
      </c>
      <c r="D54" s="13">
        <f>ROUND(D18*D30,1)</f>
        <v>9.9</v>
      </c>
      <c r="E54" s="13">
        <f>ROUND(E18*E30,1)</f>
        <v>10.8</v>
      </c>
      <c r="F54" s="13">
        <f>ROUND(F18*F30,1)</f>
        <v>8.5</v>
      </c>
      <c r="G54" s="54">
        <f>G18*G30+N54</f>
        <v>12</v>
      </c>
      <c r="H54" s="13">
        <f>H18*H30</f>
        <v>12.48</v>
      </c>
      <c r="I54" s="13">
        <f>I18*I30</f>
        <v>13.104000000000001</v>
      </c>
      <c r="J54" s="13">
        <f>J18*J30</f>
        <v>13.759200000000002</v>
      </c>
      <c r="K54" s="13">
        <f>K18*K30</f>
        <v>14.447160000000002</v>
      </c>
      <c r="L54" s="13">
        <f>L18*L30</f>
        <v>15.169518000000004</v>
      </c>
      <c r="N54" s="12">
        <v>3</v>
      </c>
    </row>
    <row r="55" spans="2:14" x14ac:dyDescent="0.2">
      <c r="B55" t="s">
        <v>21</v>
      </c>
      <c r="D55" s="13">
        <f>ROUND(D19*D30,1)</f>
        <v>36.6</v>
      </c>
      <c r="E55" s="13">
        <f>ROUND(E19*E30,1)</f>
        <v>36.1</v>
      </c>
      <c r="F55" s="13">
        <f>ROUND(F19*F30,1)</f>
        <v>35</v>
      </c>
      <c r="G55" s="54">
        <f>ROUND(G19*G30,1)+N55</f>
        <v>55</v>
      </c>
      <c r="H55" s="13">
        <f>ROUND(H19*H30,1)</f>
        <v>54.6</v>
      </c>
      <c r="I55" s="13">
        <f>ROUND(I19*I30,1)</f>
        <v>55.7</v>
      </c>
      <c r="J55" s="13">
        <f>ROUND(J19*J30,1)</f>
        <v>56.8</v>
      </c>
      <c r="K55" s="13">
        <f>ROUND(K19*K30,1)</f>
        <v>59.6</v>
      </c>
      <c r="L55" s="13">
        <f>ROUND(L19*L30,1)</f>
        <v>62.6</v>
      </c>
      <c r="N55" s="12">
        <v>19</v>
      </c>
    </row>
    <row r="56" spans="2:14" x14ac:dyDescent="0.2">
      <c r="B56" t="s">
        <v>22</v>
      </c>
      <c r="C56">
        <v>3</v>
      </c>
      <c r="D56" s="11">
        <v>2.9</v>
      </c>
      <c r="E56" s="11">
        <v>2.7</v>
      </c>
      <c r="F56" s="11">
        <v>2.8</v>
      </c>
      <c r="G56" s="54">
        <f>3+N56</f>
        <v>6</v>
      </c>
      <c r="H56" s="13">
        <f>G56+H82-H40</f>
        <v>6.6719999999999997</v>
      </c>
      <c r="I56" s="13">
        <f>H56+I82-I40</f>
        <v>7.3031999999999995</v>
      </c>
      <c r="J56" s="13">
        <f>I56+J82-J40</f>
        <v>7.906439999999999</v>
      </c>
      <c r="K56" s="13">
        <f>J56+K82-K40</f>
        <v>8.4922259999999987</v>
      </c>
      <c r="L56" s="13">
        <f>K56+L82-L40</f>
        <v>9.0692084999999985</v>
      </c>
      <c r="N56" s="12">
        <v>3</v>
      </c>
    </row>
    <row r="57" spans="2:14" x14ac:dyDescent="0.2">
      <c r="B57" t="s">
        <v>72</v>
      </c>
      <c r="D57" s="11"/>
      <c r="E57" s="11"/>
      <c r="F57" s="11"/>
      <c r="G57" s="54">
        <f>G81-N59+N61+N62</f>
        <v>30</v>
      </c>
      <c r="H57" s="13">
        <f>G57-$G$57/10</f>
        <v>27</v>
      </c>
      <c r="I57" s="13">
        <f t="shared" ref="I57:L57" si="11">H57-$G$57/10</f>
        <v>24</v>
      </c>
      <c r="J57" s="13">
        <f t="shared" si="11"/>
        <v>21</v>
      </c>
      <c r="K57" s="13">
        <f t="shared" si="11"/>
        <v>18</v>
      </c>
      <c r="L57" s="13">
        <f t="shared" si="11"/>
        <v>15</v>
      </c>
      <c r="N57" s="12"/>
    </row>
    <row r="58" spans="2:14" x14ac:dyDescent="0.2">
      <c r="B58" t="s">
        <v>23</v>
      </c>
      <c r="D58" s="13">
        <v>12</v>
      </c>
      <c r="E58" s="13">
        <v>12</v>
      </c>
      <c r="F58" s="13">
        <v>12</v>
      </c>
      <c r="G58" s="54">
        <v>12</v>
      </c>
      <c r="H58" s="13">
        <v>12</v>
      </c>
      <c r="I58" s="13">
        <v>12</v>
      </c>
      <c r="J58" s="13">
        <v>12</v>
      </c>
      <c r="K58" s="13">
        <v>12</v>
      </c>
      <c r="L58" s="13">
        <v>12</v>
      </c>
      <c r="N58" s="12">
        <v>0</v>
      </c>
    </row>
    <row r="59" spans="2:14" s="7" customFormat="1" x14ac:dyDescent="0.2">
      <c r="B59" s="4" t="s">
        <v>24</v>
      </c>
      <c r="C59" s="4"/>
      <c r="D59" s="16">
        <f>SUM(D53:D58)</f>
        <v>61.4</v>
      </c>
      <c r="E59" s="16">
        <f>SUM(E53:E58)</f>
        <v>61.600000000000009</v>
      </c>
      <c r="F59" s="16">
        <f t="shared" ref="F59" si="12">SUM(F53:F58)</f>
        <v>58.3</v>
      </c>
      <c r="G59" s="62">
        <f>SUM(G53:G58)</f>
        <v>81.662920000000014</v>
      </c>
      <c r="H59" s="16">
        <f>SUM(H53:H58)</f>
        <v>90.697479999999999</v>
      </c>
      <c r="I59" s="16">
        <f t="shared" ref="H59:L59" si="13">SUM(I53:I58)</f>
        <v>107.14625600000001</v>
      </c>
      <c r="J59" s="16">
        <f t="shared" si="13"/>
        <v>111.46564000000001</v>
      </c>
      <c r="K59" s="16">
        <f t="shared" si="13"/>
        <v>112.53938600000001</v>
      </c>
      <c r="L59" s="16">
        <f t="shared" si="13"/>
        <v>113.83872650000001</v>
      </c>
      <c r="N59" s="76">
        <f>SUM(N53:N58)</f>
        <v>25</v>
      </c>
    </row>
    <row r="60" spans="2:14" x14ac:dyDescent="0.2">
      <c r="G60" s="28"/>
      <c r="N60" s="12"/>
    </row>
    <row r="61" spans="2:14" x14ac:dyDescent="0.2">
      <c r="B61" t="s">
        <v>25</v>
      </c>
      <c r="D61" s="13">
        <f>ROUND(D30*D20,1)</f>
        <v>26.6</v>
      </c>
      <c r="E61" s="13">
        <f>ROUND(E30*E20,1)</f>
        <v>27.6</v>
      </c>
      <c r="F61" s="13">
        <f>ROUND(F30*F20,1)</f>
        <v>22.9</v>
      </c>
      <c r="G61" s="54">
        <f>ROUND(G30*G20,1)+N61</f>
        <v>39</v>
      </c>
      <c r="H61" s="13">
        <f>ROUND(H30*H20,1)</f>
        <v>43.7</v>
      </c>
      <c r="I61" s="13">
        <f>ROUND(I30*I20,1)</f>
        <v>45.9</v>
      </c>
      <c r="J61" s="13">
        <f>ROUND(J30*J20,1)</f>
        <v>48.2</v>
      </c>
      <c r="K61" s="13">
        <f>ROUND(K30*K20,1)</f>
        <v>50.6</v>
      </c>
      <c r="L61" s="13">
        <f>ROUND(L30*L20,1)</f>
        <v>53.1</v>
      </c>
      <c r="N61" s="12">
        <v>13</v>
      </c>
    </row>
    <row r="62" spans="2:14" x14ac:dyDescent="0.2">
      <c r="B62" t="s">
        <v>26</v>
      </c>
      <c r="D62" s="11">
        <v>8</v>
      </c>
      <c r="E62" s="11">
        <v>7</v>
      </c>
      <c r="F62" s="11">
        <v>6</v>
      </c>
      <c r="G62" s="56">
        <f>4+N62</f>
        <v>6</v>
      </c>
      <c r="H62" s="13">
        <v>4</v>
      </c>
      <c r="I62" s="13">
        <v>4</v>
      </c>
      <c r="J62" s="13">
        <v>4</v>
      </c>
      <c r="K62" s="13">
        <v>4</v>
      </c>
      <c r="L62" s="13">
        <v>4</v>
      </c>
      <c r="N62" s="12">
        <v>2</v>
      </c>
    </row>
    <row r="63" spans="2:14" s="7" customFormat="1" x14ac:dyDescent="0.2">
      <c r="B63" s="4" t="s">
        <v>27</v>
      </c>
      <c r="C63" s="4"/>
      <c r="D63" s="16">
        <f t="shared" ref="D63:F63" si="14">SUM(D61:D62)</f>
        <v>34.6</v>
      </c>
      <c r="E63" s="16">
        <f t="shared" si="14"/>
        <v>34.6</v>
      </c>
      <c r="F63" s="16">
        <f t="shared" si="14"/>
        <v>28.9</v>
      </c>
      <c r="G63" s="62">
        <f>SUM(G61:G62)</f>
        <v>45</v>
      </c>
      <c r="H63" s="16">
        <f t="shared" ref="H63:L63" si="15">SUM(H61:H62)</f>
        <v>47.7</v>
      </c>
      <c r="I63" s="16">
        <f t="shared" si="15"/>
        <v>49.9</v>
      </c>
      <c r="J63" s="16">
        <f t="shared" si="15"/>
        <v>52.2</v>
      </c>
      <c r="K63" s="16">
        <f t="shared" si="15"/>
        <v>54.6</v>
      </c>
      <c r="L63" s="16">
        <f t="shared" si="15"/>
        <v>57.1</v>
      </c>
    </row>
    <row r="64" spans="2:14" x14ac:dyDescent="0.2">
      <c r="B64" t="s">
        <v>28</v>
      </c>
      <c r="D64" s="13">
        <v>10</v>
      </c>
      <c r="E64" s="13">
        <v>10</v>
      </c>
      <c r="F64" s="13">
        <v>10</v>
      </c>
      <c r="G64" s="54">
        <v>10</v>
      </c>
      <c r="H64" s="13">
        <v>10</v>
      </c>
      <c r="I64" s="13">
        <v>10</v>
      </c>
      <c r="J64" s="13">
        <v>10</v>
      </c>
      <c r="K64" s="13">
        <v>10</v>
      </c>
      <c r="L64" s="13">
        <v>10</v>
      </c>
      <c r="N64" s="13"/>
    </row>
    <row r="65" spans="2:14" x14ac:dyDescent="0.2">
      <c r="B65" t="s">
        <v>29</v>
      </c>
      <c r="D65" s="12">
        <v>0</v>
      </c>
      <c r="E65" s="12">
        <v>0</v>
      </c>
      <c r="F65" s="12">
        <v>-1</v>
      </c>
      <c r="G65" s="54">
        <v>-2</v>
      </c>
      <c r="H65" s="13">
        <v>-2</v>
      </c>
      <c r="I65" s="13">
        <v>-2</v>
      </c>
      <c r="J65" s="13">
        <v>-2</v>
      </c>
      <c r="K65" s="13">
        <v>-2</v>
      </c>
      <c r="L65" s="13">
        <v>-2</v>
      </c>
      <c r="N65" s="13"/>
    </row>
    <row r="66" spans="2:14" x14ac:dyDescent="0.2">
      <c r="B66" t="s">
        <v>30</v>
      </c>
      <c r="D66" s="13">
        <f>D59-D63-D64+D65</f>
        <v>16.799999999999997</v>
      </c>
      <c r="E66" s="13">
        <f>D66+E46-E88</f>
        <v>17.000000000000004</v>
      </c>
      <c r="F66" s="13">
        <f>E66+F46-F88</f>
        <v>20.400000000000002</v>
      </c>
      <c r="G66" s="54">
        <f>G59-G64-G65-G63</f>
        <v>28.662920000000014</v>
      </c>
      <c r="H66" s="13">
        <f>G66+H46-H88</f>
        <v>34.99748000000001</v>
      </c>
      <c r="I66" s="13">
        <f>H66+I46-I88</f>
        <v>49.24625600000001</v>
      </c>
      <c r="J66" s="13">
        <f>I66+J46-J88</f>
        <v>51.265640000000005</v>
      </c>
      <c r="K66" s="13">
        <f>J66+K46-K88</f>
        <v>49.939386000000006</v>
      </c>
      <c r="L66" s="13">
        <f>K66+L46-L88</f>
        <v>48.738726500000006</v>
      </c>
    </row>
    <row r="67" spans="2:14" s="7" customFormat="1" x14ac:dyDescent="0.2">
      <c r="B67" s="4" t="s">
        <v>31</v>
      </c>
      <c r="C67" s="4"/>
      <c r="D67" s="16">
        <f t="shared" ref="D67:F67" si="16">SUM(D64:D66)</f>
        <v>26.799999999999997</v>
      </c>
      <c r="E67" s="16">
        <f t="shared" si="16"/>
        <v>27.000000000000004</v>
      </c>
      <c r="F67" s="16">
        <f t="shared" si="16"/>
        <v>29.400000000000002</v>
      </c>
      <c r="G67" s="62">
        <f>SUM(G64:G66)</f>
        <v>36.662920000000014</v>
      </c>
      <c r="H67" s="16">
        <f>SUM(H64:H66)</f>
        <v>42.99748000000001</v>
      </c>
      <c r="I67" s="16">
        <f t="shared" ref="I67:L67" si="17">SUM(I64:I66)</f>
        <v>57.24625600000001</v>
      </c>
      <c r="J67" s="16">
        <f t="shared" si="17"/>
        <v>59.265640000000005</v>
      </c>
      <c r="K67" s="16">
        <f t="shared" si="17"/>
        <v>57.939386000000006</v>
      </c>
      <c r="L67" s="16">
        <f t="shared" si="17"/>
        <v>56.738726500000006</v>
      </c>
    </row>
    <row r="68" spans="2:14" x14ac:dyDescent="0.2">
      <c r="B68" s="4" t="s">
        <v>32</v>
      </c>
      <c r="C68" s="4"/>
      <c r="D68" s="16">
        <f>D67+D63</f>
        <v>61.4</v>
      </c>
      <c r="E68" s="16">
        <f t="shared" ref="E68:F68" si="18">E67+E63</f>
        <v>61.600000000000009</v>
      </c>
      <c r="F68" s="16">
        <f t="shared" si="18"/>
        <v>58.3</v>
      </c>
      <c r="G68" s="62">
        <f>G67+G63</f>
        <v>81.662920000000014</v>
      </c>
      <c r="H68" s="16">
        <f t="shared" ref="H68:L68" si="19">H67+H63</f>
        <v>90.697480000000013</v>
      </c>
      <c r="I68" s="16">
        <f t="shared" si="19"/>
        <v>107.14625600000001</v>
      </c>
      <c r="J68" s="16">
        <f t="shared" si="19"/>
        <v>111.46564000000001</v>
      </c>
      <c r="K68" s="16">
        <f t="shared" si="19"/>
        <v>112.53938600000001</v>
      </c>
      <c r="L68" s="16">
        <f t="shared" si="19"/>
        <v>113.83872650000001</v>
      </c>
    </row>
    <row r="69" spans="2:14" x14ac:dyDescent="0.2">
      <c r="B69" s="7"/>
    </row>
    <row r="70" spans="2:14" x14ac:dyDescent="0.2">
      <c r="B70" s="65" t="s">
        <v>33</v>
      </c>
      <c r="C70" s="66"/>
      <c r="D70" s="67">
        <f>SUM(D54:D55)-D61</f>
        <v>19.899999999999999</v>
      </c>
      <c r="E70" s="67">
        <f>SUM(E54:E55)-E61</f>
        <v>19.300000000000004</v>
      </c>
      <c r="F70" s="67">
        <f>SUM(F54:F55)-F61</f>
        <v>20.6</v>
      </c>
      <c r="G70" s="67">
        <f>SUM(G54:G55)-G61</f>
        <v>28</v>
      </c>
      <c r="H70" s="67">
        <f>SUM(H54:H55)-H61</f>
        <v>23.379999999999995</v>
      </c>
      <c r="I70" s="67">
        <f>SUM(I54:I55)-I61</f>
        <v>22.904000000000003</v>
      </c>
      <c r="J70" s="67">
        <f>SUM(J54:J55)-J61</f>
        <v>22.359200000000001</v>
      </c>
      <c r="K70" s="67">
        <f>SUM(K54:K55)-K61</f>
        <v>23.447160000000004</v>
      </c>
      <c r="L70" s="67">
        <f>SUM(L54:L55)-L61</f>
        <v>24.669518000000004</v>
      </c>
    </row>
    <row r="72" spans="2:14" x14ac:dyDescent="0.2">
      <c r="B72" s="64" t="s">
        <v>68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</row>
    <row r="73" spans="2:14" x14ac:dyDescent="0.2">
      <c r="B73" s="7"/>
    </row>
    <row r="74" spans="2:14" x14ac:dyDescent="0.2">
      <c r="B74" s="4"/>
      <c r="C74" s="4"/>
      <c r="D74" s="25"/>
      <c r="E74" s="25" t="s">
        <v>2</v>
      </c>
      <c r="F74" s="25" t="s">
        <v>1</v>
      </c>
      <c r="G74" s="45" t="s">
        <v>0</v>
      </c>
      <c r="H74" s="25" t="s">
        <v>61</v>
      </c>
      <c r="I74" s="25" t="s">
        <v>62</v>
      </c>
      <c r="J74" s="25" t="s">
        <v>63</v>
      </c>
      <c r="K74" s="25" t="s">
        <v>64</v>
      </c>
      <c r="L74" s="25" t="s">
        <v>65</v>
      </c>
    </row>
    <row r="75" spans="2:14" x14ac:dyDescent="0.2">
      <c r="B75" s="8" t="s">
        <v>34</v>
      </c>
      <c r="C75" s="20"/>
      <c r="D75" s="21"/>
      <c r="E75" s="21">
        <f>E46</f>
        <v>1.9971986921725562</v>
      </c>
      <c r="F75" s="21">
        <f>F46</f>
        <v>4.4345139449541282</v>
      </c>
      <c r="G75" s="63">
        <f>G46</f>
        <v>6.3029200000000056</v>
      </c>
      <c r="H75" s="21">
        <f>H46</f>
        <v>6.3345599999999926</v>
      </c>
      <c r="I75" s="21">
        <f>I46</f>
        <v>14.248776000000001</v>
      </c>
      <c r="J75" s="21">
        <f>J46</f>
        <v>17.182568700000001</v>
      </c>
      <c r="K75" s="21">
        <f>K46</f>
        <v>18.881102279999993</v>
      </c>
      <c r="L75" s="21">
        <f>L46</f>
        <v>20.709939116250005</v>
      </c>
    </row>
    <row r="76" spans="2:14" x14ac:dyDescent="0.2">
      <c r="B76" s="9" t="s">
        <v>35</v>
      </c>
      <c r="D76" s="13"/>
      <c r="E76" s="13">
        <f>E44*(1-E15)</f>
        <v>0.18768000000000001</v>
      </c>
      <c r="F76" s="13">
        <f>F44*(1-F15)</f>
        <v>0.16422</v>
      </c>
      <c r="G76" s="54">
        <f>G44*(1-G15)</f>
        <v>0.14076</v>
      </c>
      <c r="H76" s="13">
        <f>H44*(1-H15)</f>
        <v>0.14939999999999998</v>
      </c>
      <c r="I76" s="13">
        <f>I44*(1-I15)</f>
        <v>9.9599999999999994E-2</v>
      </c>
      <c r="J76" s="13">
        <f>J44*(1-J15)</f>
        <v>9.9599999999999994E-2</v>
      </c>
      <c r="K76" s="13">
        <f>K44*(1-K15)</f>
        <v>9.9599999999999994E-2</v>
      </c>
      <c r="L76" s="13">
        <f>L44*(1-L15)</f>
        <v>9.9599999999999994E-2</v>
      </c>
    </row>
    <row r="77" spans="2:14" s="19" customFormat="1" x14ac:dyDescent="0.2">
      <c r="B77" s="8" t="s">
        <v>36</v>
      </c>
      <c r="C77" s="20"/>
      <c r="D77" s="21"/>
      <c r="E77" s="21">
        <f>E75+E76</f>
        <v>2.184878692172556</v>
      </c>
      <c r="F77" s="21">
        <f t="shared" ref="F77:L77" si="20">F75+F76</f>
        <v>4.5987339449541285</v>
      </c>
      <c r="G77" s="63">
        <f>G75+G76</f>
        <v>6.4436800000000058</v>
      </c>
      <c r="H77" s="21">
        <f t="shared" si="20"/>
        <v>6.4839599999999926</v>
      </c>
      <c r="I77" s="21">
        <f t="shared" si="20"/>
        <v>14.348376000000002</v>
      </c>
      <c r="J77" s="21">
        <f t="shared" si="20"/>
        <v>17.2821687</v>
      </c>
      <c r="K77" s="21">
        <f t="shared" si="20"/>
        <v>18.980702279999992</v>
      </c>
      <c r="L77" s="21">
        <f t="shared" si="20"/>
        <v>20.809539116250004</v>
      </c>
    </row>
    <row r="78" spans="2:14" x14ac:dyDescent="0.2">
      <c r="B78" s="9" t="s">
        <v>37</v>
      </c>
      <c r="D78" s="13"/>
      <c r="E78" s="13">
        <f>E40</f>
        <v>1.1100000000000001</v>
      </c>
      <c r="F78" s="13">
        <f>F40</f>
        <v>1</v>
      </c>
      <c r="G78" s="54">
        <f>G40</f>
        <v>0.76</v>
      </c>
      <c r="H78" s="13">
        <f>H40+H41</f>
        <v>4.6680000000000001</v>
      </c>
      <c r="I78" s="13">
        <f t="shared" ref="I78:L78" si="21">I40+I41</f>
        <v>4.8258000000000001</v>
      </c>
      <c r="J78" s="13">
        <f t="shared" si="21"/>
        <v>4.97661</v>
      </c>
      <c r="K78" s="13">
        <f t="shared" si="21"/>
        <v>5.1230565000000006</v>
      </c>
      <c r="L78" s="13">
        <f t="shared" si="21"/>
        <v>5.2673021250000005</v>
      </c>
    </row>
    <row r="79" spans="2:14" x14ac:dyDescent="0.2">
      <c r="B79" s="9" t="s">
        <v>38</v>
      </c>
      <c r="D79" s="13"/>
      <c r="E79" s="13">
        <f>E70-D70</f>
        <v>-0.59999999999999432</v>
      </c>
      <c r="F79" s="13">
        <f>F70-E70</f>
        <v>1.2999999999999972</v>
      </c>
      <c r="G79" s="54">
        <v>-1.6000000000000014</v>
      </c>
      <c r="H79" s="13">
        <f>H70-G70</f>
        <v>-4.6200000000000045</v>
      </c>
      <c r="I79" s="13">
        <f>I70-H70</f>
        <v>-0.47599999999999199</v>
      </c>
      <c r="J79" s="13">
        <f>J70-I70</f>
        <v>-0.54480000000000217</v>
      </c>
      <c r="K79" s="13">
        <f>K70-J70</f>
        <v>1.0879600000000025</v>
      </c>
      <c r="L79" s="13">
        <f>L70-K70</f>
        <v>1.2223579999999998</v>
      </c>
    </row>
    <row r="80" spans="2:14" s="19" customFormat="1" x14ac:dyDescent="0.2">
      <c r="B80" s="8" t="s">
        <v>39</v>
      </c>
      <c r="C80" s="20"/>
      <c r="D80" s="21"/>
      <c r="E80" s="21">
        <f>E77+E78-E79</f>
        <v>3.8948786921725507</v>
      </c>
      <c r="F80" s="21">
        <f t="shared" ref="F80:L80" si="22">F77+F78-F79</f>
        <v>4.2987339449541313</v>
      </c>
      <c r="G80" s="63">
        <f>G77+G78-G79</f>
        <v>8.8036800000000071</v>
      </c>
      <c r="H80" s="21">
        <f t="shared" si="22"/>
        <v>15.771959999999996</v>
      </c>
      <c r="I80" s="21">
        <f t="shared" si="22"/>
        <v>19.650175999999995</v>
      </c>
      <c r="J80" s="21">
        <f t="shared" si="22"/>
        <v>22.803578700000003</v>
      </c>
      <c r="K80" s="21">
        <f t="shared" si="22"/>
        <v>23.01579877999999</v>
      </c>
      <c r="L80" s="21">
        <f t="shared" si="22"/>
        <v>24.854483241250005</v>
      </c>
    </row>
    <row r="81" spans="2:12" s="19" customFormat="1" x14ac:dyDescent="0.2">
      <c r="B81" s="74" t="s">
        <v>71</v>
      </c>
      <c r="C81" s="71"/>
      <c r="D81" s="72"/>
      <c r="E81" s="72"/>
      <c r="F81" s="72"/>
      <c r="G81" s="73">
        <v>40</v>
      </c>
      <c r="H81" s="72"/>
      <c r="I81" s="72"/>
      <c r="J81" s="72"/>
      <c r="K81" s="72"/>
      <c r="L81" s="72"/>
    </row>
    <row r="82" spans="2:12" x14ac:dyDescent="0.2">
      <c r="B82" s="9" t="s">
        <v>40</v>
      </c>
      <c r="D82" s="13"/>
      <c r="E82" s="13">
        <f>E56+E78-D56</f>
        <v>0.91000000000000059</v>
      </c>
      <c r="F82" s="13">
        <f>F56+F78-E56</f>
        <v>1.0999999999999996</v>
      </c>
      <c r="G82" s="54">
        <f>G22*G30</f>
        <v>1</v>
      </c>
      <c r="H82" s="13">
        <f>H22*H30</f>
        <v>2.34</v>
      </c>
      <c r="I82" s="13">
        <f>I22*I30</f>
        <v>2.4570000000000003</v>
      </c>
      <c r="J82" s="13">
        <f>J22*J30</f>
        <v>2.57985</v>
      </c>
      <c r="K82" s="13">
        <f>K22*K30</f>
        <v>2.7088425000000003</v>
      </c>
      <c r="L82" s="13">
        <f>L22*L30</f>
        <v>2.8442846250000002</v>
      </c>
    </row>
    <row r="83" spans="2:12" s="19" customFormat="1" x14ac:dyDescent="0.2">
      <c r="B83" s="8" t="s">
        <v>41</v>
      </c>
      <c r="C83" s="20"/>
      <c r="D83" s="21"/>
      <c r="E83" s="21">
        <f>E80-E82</f>
        <v>2.9848786921725501</v>
      </c>
      <c r="F83" s="21">
        <f t="shared" ref="F83:L83" si="23">F80-F82</f>
        <v>3.1987339449541317</v>
      </c>
      <c r="G83" s="63">
        <f>G80-G81-G82</f>
        <v>-32.196319999999993</v>
      </c>
      <c r="H83" s="21">
        <f t="shared" si="23"/>
        <v>13.431959999999997</v>
      </c>
      <c r="I83" s="21">
        <f t="shared" si="23"/>
        <v>17.193175999999994</v>
      </c>
      <c r="J83" s="21">
        <f t="shared" si="23"/>
        <v>20.223728700000002</v>
      </c>
      <c r="K83" s="21">
        <f t="shared" si="23"/>
        <v>20.306956279999991</v>
      </c>
      <c r="L83" s="21">
        <f t="shared" si="23"/>
        <v>22.010198616250005</v>
      </c>
    </row>
    <row r="84" spans="2:12" x14ac:dyDescent="0.2">
      <c r="B84" s="9" t="s">
        <v>42</v>
      </c>
      <c r="D84" s="13"/>
      <c r="E84" s="13">
        <f>E76</f>
        <v>0.18768000000000001</v>
      </c>
      <c r="F84" s="13">
        <f t="shared" ref="F84:L84" si="24">F76</f>
        <v>0.16422</v>
      </c>
      <c r="G84" s="54">
        <f>G76</f>
        <v>0.14076</v>
      </c>
      <c r="H84" s="13">
        <f t="shared" si="24"/>
        <v>0.14939999999999998</v>
      </c>
      <c r="I84" s="13">
        <f t="shared" si="24"/>
        <v>9.9599999999999994E-2</v>
      </c>
      <c r="J84" s="13">
        <f t="shared" si="24"/>
        <v>9.9599999999999994E-2</v>
      </c>
      <c r="K84" s="13">
        <f t="shared" si="24"/>
        <v>9.9599999999999994E-2</v>
      </c>
      <c r="L84" s="13">
        <f t="shared" si="24"/>
        <v>9.9599999999999994E-2</v>
      </c>
    </row>
    <row r="85" spans="2:12" x14ac:dyDescent="0.2">
      <c r="B85" s="9" t="s">
        <v>43</v>
      </c>
      <c r="D85" s="13"/>
      <c r="E85" s="13">
        <f>E62-D62</f>
        <v>-1</v>
      </c>
      <c r="F85" s="13">
        <f>F62-E62</f>
        <v>-1</v>
      </c>
      <c r="G85" s="54">
        <f>G62-F62</f>
        <v>0</v>
      </c>
      <c r="H85" s="13">
        <f>H62-G62</f>
        <v>-2</v>
      </c>
      <c r="I85" s="13">
        <f>I62-H62</f>
        <v>0</v>
      </c>
      <c r="J85" s="13">
        <f>J62-I62</f>
        <v>0</v>
      </c>
      <c r="K85" s="13">
        <f>K62-J62</f>
        <v>0</v>
      </c>
      <c r="L85" s="13">
        <f>L62-K62</f>
        <v>0</v>
      </c>
    </row>
    <row r="86" spans="2:12" s="19" customFormat="1" x14ac:dyDescent="0.2">
      <c r="B86" s="8" t="s">
        <v>44</v>
      </c>
      <c r="C86" s="20"/>
      <c r="D86" s="21"/>
      <c r="E86" s="21">
        <f>E83-E84+E85</f>
        <v>1.7971986921725502</v>
      </c>
      <c r="F86" s="21">
        <f t="shared" ref="F86:L86" si="25">F83-F84+F85</f>
        <v>2.0345139449541318</v>
      </c>
      <c r="G86" s="63">
        <f>G83-G84+G85</f>
        <v>-32.337079999999993</v>
      </c>
      <c r="H86" s="21">
        <f t="shared" si="25"/>
        <v>11.282559999999997</v>
      </c>
      <c r="I86" s="21">
        <f t="shared" si="25"/>
        <v>17.093575999999995</v>
      </c>
      <c r="J86" s="21">
        <f t="shared" si="25"/>
        <v>20.124128700000004</v>
      </c>
      <c r="K86" s="21">
        <f t="shared" si="25"/>
        <v>20.207356279999992</v>
      </c>
      <c r="L86" s="21">
        <f t="shared" si="25"/>
        <v>21.910598616250006</v>
      </c>
    </row>
    <row r="87" spans="2:12" x14ac:dyDescent="0.2">
      <c r="B87" s="9" t="s">
        <v>45</v>
      </c>
      <c r="D87" s="13"/>
      <c r="E87" s="13">
        <f>D65-E65</f>
        <v>0</v>
      </c>
      <c r="F87" s="13">
        <f>E65-F65</f>
        <v>1</v>
      </c>
      <c r="G87" s="54">
        <f>F65-G65</f>
        <v>1</v>
      </c>
      <c r="H87" s="13">
        <f>G65-H65</f>
        <v>0</v>
      </c>
      <c r="I87" s="13">
        <f>H65-I65</f>
        <v>0</v>
      </c>
      <c r="J87" s="13">
        <f>I65-J65</f>
        <v>0</v>
      </c>
      <c r="K87" s="13">
        <f>J65-K65</f>
        <v>0</v>
      </c>
      <c r="L87" s="13">
        <f>K65-L65</f>
        <v>0</v>
      </c>
    </row>
    <row r="88" spans="2:12" x14ac:dyDescent="0.2">
      <c r="B88" s="9" t="s">
        <v>46</v>
      </c>
      <c r="D88" s="13"/>
      <c r="E88" s="28">
        <f>E86-E87</f>
        <v>1.7971986921725502</v>
      </c>
      <c r="F88" s="28">
        <f t="shared" ref="F88" si="26">F86-F87</f>
        <v>1.0345139449541318</v>
      </c>
      <c r="G88" s="54">
        <v>0</v>
      </c>
      <c r="H88" s="28">
        <f>MAX(H86-H87+G53,0)</f>
        <v>0</v>
      </c>
      <c r="I88" s="28">
        <f t="shared" ref="I88:L88" si="27">MAX(I86-I87+H53,0)</f>
        <v>0</v>
      </c>
      <c r="J88" s="28">
        <f t="shared" si="27"/>
        <v>15.163184700000002</v>
      </c>
      <c r="K88" s="28">
        <f t="shared" si="27"/>
        <v>20.207356279999992</v>
      </c>
      <c r="L88" s="28">
        <f t="shared" si="27"/>
        <v>21.910598616250006</v>
      </c>
    </row>
    <row r="89" spans="2:12" s="19" customFormat="1" x14ac:dyDescent="0.2">
      <c r="B89" s="8" t="s">
        <v>48</v>
      </c>
      <c r="C89" s="20"/>
      <c r="D89" s="21"/>
      <c r="E89" s="21">
        <f>E86-E87-E88</f>
        <v>0</v>
      </c>
      <c r="F89" s="21">
        <f t="shared" ref="F89:L89" si="28">F86-F87-F88</f>
        <v>0</v>
      </c>
      <c r="G89" s="63">
        <f>G86-G87-G88</f>
        <v>-33.337079999999993</v>
      </c>
      <c r="H89" s="21">
        <f t="shared" si="28"/>
        <v>11.282559999999997</v>
      </c>
      <c r="I89" s="21">
        <f t="shared" si="28"/>
        <v>17.093575999999995</v>
      </c>
      <c r="J89" s="21">
        <f t="shared" si="28"/>
        <v>4.9609440000000014</v>
      </c>
      <c r="K89" s="21">
        <f t="shared" si="28"/>
        <v>0</v>
      </c>
      <c r="L89" s="21">
        <f t="shared" si="28"/>
        <v>0</v>
      </c>
    </row>
    <row r="91" spans="2:12" x14ac:dyDescent="0.2">
      <c r="E91" s="13"/>
    </row>
    <row r="93" spans="2:12" x14ac:dyDescent="0.2">
      <c r="B93" s="68" t="s">
        <v>70</v>
      </c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5" spans="2:12" x14ac:dyDescent="0.2">
      <c r="B95" t="s">
        <v>54</v>
      </c>
      <c r="D95" s="13">
        <f>D59-D61</f>
        <v>34.799999999999997</v>
      </c>
      <c r="E95" s="13">
        <f>E59-E61</f>
        <v>34.000000000000007</v>
      </c>
      <c r="F95" s="13">
        <f>F59-F61</f>
        <v>35.4</v>
      </c>
      <c r="G95" s="28">
        <f>G59-G61</f>
        <v>42.662920000000014</v>
      </c>
      <c r="H95" s="13">
        <f>H59-H61</f>
        <v>46.997479999999996</v>
      </c>
      <c r="I95" s="13">
        <f>I59-I61</f>
        <v>61.24625600000001</v>
      </c>
      <c r="J95" s="13">
        <f>J59-J61</f>
        <v>63.265640000000005</v>
      </c>
      <c r="K95" s="13">
        <f>K59-K61</f>
        <v>61.939386000000006</v>
      </c>
      <c r="L95" s="13">
        <f>L59-L61</f>
        <v>60.738726500000006</v>
      </c>
    </row>
    <row r="96" spans="2:12" x14ac:dyDescent="0.2">
      <c r="B96" t="s">
        <v>55</v>
      </c>
      <c r="E96" s="13">
        <f>AVERAGE(D95:E95)</f>
        <v>34.400000000000006</v>
      </c>
      <c r="F96" s="13">
        <f t="shared" ref="F96:L96" si="29">AVERAGE(E95:F95)</f>
        <v>34.700000000000003</v>
      </c>
      <c r="G96" s="28">
        <f t="shared" si="29"/>
        <v>39.03146000000001</v>
      </c>
      <c r="H96" s="13">
        <f t="shared" si="29"/>
        <v>44.830200000000005</v>
      </c>
      <c r="I96" s="13">
        <f t="shared" si="29"/>
        <v>54.121868000000006</v>
      </c>
      <c r="J96" s="13">
        <f t="shared" si="29"/>
        <v>62.255948000000004</v>
      </c>
      <c r="K96" s="13">
        <f t="shared" si="29"/>
        <v>62.602513000000002</v>
      </c>
      <c r="L96" s="13">
        <f t="shared" si="29"/>
        <v>61.339056250000006</v>
      </c>
    </row>
    <row r="97" spans="2:12" x14ac:dyDescent="0.2">
      <c r="B97" s="4" t="s">
        <v>56</v>
      </c>
      <c r="C97" s="4"/>
      <c r="D97" s="4"/>
      <c r="E97" s="69">
        <f>E77/E96</f>
        <v>6.3513915470132437E-2</v>
      </c>
      <c r="F97" s="69">
        <f>F77/F96</f>
        <v>0.1325283557623668</v>
      </c>
      <c r="G97" s="70">
        <f>G77/G96</f>
        <v>0.16508939199302317</v>
      </c>
      <c r="H97" s="69">
        <f>H77/H96</f>
        <v>0.14463375135511311</v>
      </c>
      <c r="I97" s="69">
        <f>I77/I96</f>
        <v>0.26511235717141174</v>
      </c>
      <c r="J97" s="69">
        <f>J77/J96</f>
        <v>0.27759867539082367</v>
      </c>
      <c r="K97" s="69">
        <f>K77/K96</f>
        <v>0.30319393536166817</v>
      </c>
      <c r="L97" s="69">
        <f>L77/L96</f>
        <v>0.33925430856706412</v>
      </c>
    </row>
    <row r="99" spans="2:12" x14ac:dyDescent="0.2">
      <c r="B99" t="s">
        <v>86</v>
      </c>
      <c r="F99" s="85">
        <v>0.1</v>
      </c>
      <c r="G99" s="27">
        <f>F99</f>
        <v>0.1</v>
      </c>
      <c r="H99" s="27">
        <f t="shared" ref="H99:L99" si="30">G99</f>
        <v>0.1</v>
      </c>
      <c r="I99" s="27">
        <f t="shared" si="30"/>
        <v>0.1</v>
      </c>
      <c r="J99" s="27">
        <f t="shared" si="30"/>
        <v>0.1</v>
      </c>
      <c r="K99" s="27">
        <f t="shared" si="30"/>
        <v>0.1</v>
      </c>
      <c r="L99" s="27">
        <f t="shared" si="30"/>
        <v>0.1</v>
      </c>
    </row>
    <row r="100" spans="2:12" x14ac:dyDescent="0.2">
      <c r="F100" s="85"/>
      <c r="G100" s="27"/>
      <c r="H100" s="27"/>
      <c r="I100" s="27"/>
      <c r="J100" s="27"/>
      <c r="K100" s="27"/>
      <c r="L100" s="27"/>
    </row>
    <row r="101" spans="2:12" x14ac:dyDescent="0.2">
      <c r="B101" s="4" t="s">
        <v>87</v>
      </c>
      <c r="C101" s="4"/>
      <c r="D101" s="4"/>
      <c r="E101" s="4"/>
      <c r="F101" s="86">
        <f>F97-F99</f>
        <v>3.252835576236679E-2</v>
      </c>
      <c r="G101" s="86">
        <f t="shared" ref="G101:L101" si="31">G97-G99</f>
        <v>6.508939199302316E-2</v>
      </c>
      <c r="H101" s="86">
        <f t="shared" si="31"/>
        <v>4.4633751355113105E-2</v>
      </c>
      <c r="I101" s="86">
        <f t="shared" si="31"/>
        <v>0.16511235717141173</v>
      </c>
      <c r="J101" s="86">
        <f t="shared" si="31"/>
        <v>0.17759867539082366</v>
      </c>
      <c r="K101" s="86">
        <f t="shared" si="31"/>
        <v>0.20319393536166816</v>
      </c>
      <c r="L101" s="86">
        <f t="shared" si="31"/>
        <v>0.23925430856706412</v>
      </c>
    </row>
    <row r="102" spans="2:12" x14ac:dyDescent="0.2">
      <c r="F102" s="85"/>
      <c r="G102" s="27"/>
      <c r="H102" s="27"/>
      <c r="I102" s="27"/>
      <c r="J102" s="27"/>
      <c r="K102" s="27"/>
      <c r="L102" s="27"/>
    </row>
    <row r="104" spans="2:12" x14ac:dyDescent="0.2">
      <c r="B104" s="87" t="s">
        <v>88</v>
      </c>
      <c r="C104" s="87"/>
      <c r="D104" s="87"/>
      <c r="E104" s="87"/>
      <c r="F104" s="88">
        <f>F99*F96</f>
        <v>3.4700000000000006</v>
      </c>
      <c r="G104" s="88">
        <f t="shared" ref="G104:L104" si="32">G99*G96</f>
        <v>3.9031460000000013</v>
      </c>
      <c r="H104" s="88">
        <f t="shared" si="32"/>
        <v>4.4830200000000007</v>
      </c>
      <c r="I104" s="88">
        <f t="shared" si="32"/>
        <v>5.4121868000000006</v>
      </c>
      <c r="J104" s="88">
        <f t="shared" si="32"/>
        <v>6.2255948000000005</v>
      </c>
      <c r="K104" s="88">
        <f t="shared" si="32"/>
        <v>6.2602513000000002</v>
      </c>
      <c r="L104" s="88">
        <f t="shared" si="32"/>
        <v>6.1339056250000006</v>
      </c>
    </row>
    <row r="105" spans="2:12" x14ac:dyDescent="0.2">
      <c r="B105" s="6" t="s">
        <v>89</v>
      </c>
      <c r="C105" s="6"/>
      <c r="D105" s="6"/>
      <c r="E105" s="6"/>
      <c r="F105" s="89">
        <f>F77-F104</f>
        <v>1.1287339449541278</v>
      </c>
      <c r="G105" s="89">
        <f t="shared" ref="G105:L105" si="33">G77-G104</f>
        <v>2.5405340000000045</v>
      </c>
      <c r="H105" s="89">
        <f t="shared" si="33"/>
        <v>2.0009399999999919</v>
      </c>
      <c r="I105" s="89">
        <f t="shared" si="33"/>
        <v>8.9361892000000012</v>
      </c>
      <c r="J105" s="89">
        <f t="shared" si="33"/>
        <v>11.0565739</v>
      </c>
      <c r="K105" s="89">
        <f t="shared" si="33"/>
        <v>12.720450979999992</v>
      </c>
      <c r="L105" s="89">
        <f t="shared" si="33"/>
        <v>14.675633491250004</v>
      </c>
    </row>
    <row r="108" spans="2:12" x14ac:dyDescent="0.2">
      <c r="B108" s="68" t="s">
        <v>90</v>
      </c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10" spans="2:12" x14ac:dyDescent="0.2">
      <c r="B110" s="4" t="s">
        <v>83</v>
      </c>
      <c r="C110" s="4"/>
      <c r="D110" s="4"/>
      <c r="E110" s="4"/>
      <c r="F110" s="16"/>
      <c r="G110" s="16">
        <f>G83-'BLT AG'!G80</f>
        <v>-40</v>
      </c>
      <c r="H110" s="16">
        <f>H83-'BLT AG'!H80</f>
        <v>2.9697359999999975</v>
      </c>
      <c r="I110" s="16">
        <f>I83-'BLT AG'!I80</f>
        <v>7.1468630399999942</v>
      </c>
      <c r="J110" s="16">
        <f>J83-'BLT AG'!J80</f>
        <v>9.9200130136000038</v>
      </c>
      <c r="K110" s="16">
        <f>K83-'BLT AG'!K80</f>
        <v>9.018552021184</v>
      </c>
      <c r="L110" s="16">
        <f>L83-'BLT AG'!L80</f>
        <v>10.459757988681353</v>
      </c>
    </row>
  </sheetData>
  <mergeCells count="8">
    <mergeCell ref="B108:L108"/>
    <mergeCell ref="B5:L5"/>
    <mergeCell ref="B27:L27"/>
    <mergeCell ref="B50:L50"/>
    <mergeCell ref="B72:L72"/>
    <mergeCell ref="B93:L93"/>
    <mergeCell ref="D6:G6"/>
    <mergeCell ref="H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BLT AG</vt:lpstr>
      <vt:lpstr>BLT AG nach Zusammenschluss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Urs Wälchli</cp:lastModifiedBy>
  <dcterms:created xsi:type="dcterms:W3CDTF">2025-05-21T12:43:28Z</dcterms:created>
  <dcterms:modified xsi:type="dcterms:W3CDTF">2025-05-22T11:40:00Z</dcterms:modified>
</cp:coreProperties>
</file>